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vrad\Desktop\Za upravno vijeće-13.12.23\"/>
    </mc:Choice>
  </mc:AlternateContent>
  <xr:revisionPtr revIDLastSave="0" documentId="13_ncr:1_{B92B7D51-92C8-4E91-93C3-57F6698D7AD5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SAŽETAK" sheetId="1" r:id="rId1"/>
    <sheet name=" Račun prihoda i rashoda" sheetId="3" r:id="rId2"/>
    <sheet name="Prihodi i rashodi po izvorima" sheetId="9" r:id="rId3"/>
    <sheet name="Rashodi prema funkcijskoj kl" sheetId="5" r:id="rId4"/>
    <sheet name="Račun financiranja" sheetId="6" r:id="rId5"/>
    <sheet name="Račun financiranja po izvorima" sheetId="11" r:id="rId6"/>
    <sheet name="POSEBNI DIO-2.raz.za UV" sheetId="7" r:id="rId7"/>
    <sheet name="POSEBNI DIO-5.razina" sheetId="8" state="hidden" r:id="rId8"/>
    <sheet name="List 1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" l="1"/>
  <c r="H9" i="7"/>
  <c r="H10" i="7"/>
  <c r="F10" i="9"/>
  <c r="E10" i="9"/>
  <c r="F43" i="9"/>
  <c r="E43" i="9"/>
  <c r="F12" i="9"/>
  <c r="E12" i="9"/>
  <c r="I16" i="3"/>
  <c r="I11" i="3" s="1"/>
  <c r="I19" i="3" s="1"/>
  <c r="H16" i="3"/>
  <c r="I18" i="7"/>
  <c r="H18" i="7"/>
  <c r="I17" i="7"/>
  <c r="H17" i="7"/>
  <c r="H11" i="3"/>
  <c r="H19" i="3" s="1"/>
  <c r="I43" i="3"/>
  <c r="I41" i="3" s="1"/>
  <c r="I67" i="3" s="1"/>
  <c r="H43" i="3"/>
  <c r="H41" i="3" s="1"/>
  <c r="H67" i="3" s="1"/>
  <c r="F14" i="5"/>
  <c r="E14" i="5"/>
  <c r="J12" i="1"/>
  <c r="I12" i="1"/>
  <c r="H7" i="7"/>
  <c r="I7" i="7"/>
  <c r="G40" i="7"/>
  <c r="G17" i="7"/>
  <c r="G16" i="7"/>
  <c r="G18" i="7" s="1"/>
  <c r="G8" i="7"/>
  <c r="G11" i="7"/>
  <c r="G10" i="7"/>
  <c r="D13" i="5"/>
  <c r="G16" i="3"/>
  <c r="G12" i="3"/>
  <c r="G43" i="3"/>
  <c r="G67" i="3" s="1"/>
  <c r="G41" i="3"/>
  <c r="H14" i="1"/>
  <c r="H12" i="1"/>
  <c r="H16" i="7" l="1"/>
  <c r="H15" i="7" s="1"/>
  <c r="G19" i="3"/>
  <c r="G69" i="3" s="1"/>
  <c r="I9" i="7"/>
  <c r="I8" i="7" s="1"/>
  <c r="I16" i="7"/>
  <c r="I15" i="7" s="1"/>
  <c r="G9" i="7"/>
  <c r="E17" i="7"/>
  <c r="E22" i="7"/>
  <c r="E41" i="7"/>
  <c r="E40" i="7" s="1"/>
  <c r="E46" i="7"/>
  <c r="E30" i="7"/>
  <c r="E19" i="7"/>
  <c r="E12" i="7"/>
  <c r="E11" i="7"/>
  <c r="E10" i="7"/>
  <c r="E8" i="7"/>
  <c r="E7" i="7"/>
  <c r="E6" i="7"/>
  <c r="B15" i="5"/>
  <c r="B13" i="5" s="1"/>
  <c r="B23" i="9"/>
  <c r="B21" i="9"/>
  <c r="B17" i="9"/>
  <c r="B15" i="9"/>
  <c r="B13" i="9"/>
  <c r="B11" i="9"/>
  <c r="E65" i="3"/>
  <c r="E63" i="3"/>
  <c r="E44" i="3"/>
  <c r="E18" i="3"/>
  <c r="E15" i="3"/>
  <c r="E14" i="3"/>
  <c r="E13" i="3"/>
  <c r="F28" i="1"/>
  <c r="F27" i="1"/>
  <c r="F14" i="1"/>
  <c r="F13" i="1"/>
  <c r="F12" i="1"/>
  <c r="F11" i="1"/>
  <c r="F10" i="1"/>
  <c r="F9" i="1"/>
  <c r="F8" i="1"/>
  <c r="F40" i="3"/>
  <c r="F19" i="3"/>
  <c r="F67" i="3"/>
  <c r="I133" i="8"/>
  <c r="I132" i="8" s="1"/>
  <c r="I129" i="8"/>
  <c r="I128" i="8" s="1"/>
  <c r="I127" i="8" s="1"/>
  <c r="I118" i="8"/>
  <c r="I117" i="8"/>
  <c r="I116" i="8" s="1"/>
  <c r="I112" i="8"/>
  <c r="I111" i="8" s="1"/>
  <c r="I110" i="8" s="1"/>
  <c r="I108" i="8"/>
  <c r="I107" i="8"/>
  <c r="I102" i="8"/>
  <c r="I45" i="8"/>
  <c r="I39" i="8"/>
  <c r="I35" i="8"/>
  <c r="I22" i="8"/>
  <c r="I21" i="8" s="1"/>
  <c r="I20" i="8" s="1"/>
  <c r="I16" i="8"/>
  <c r="I10" i="8"/>
  <c r="I9" i="8"/>
  <c r="I8" i="8" s="1"/>
  <c r="H133" i="8"/>
  <c r="H132" i="8" s="1"/>
  <c r="H129" i="8"/>
  <c r="H128" i="8"/>
  <c r="H127" i="8" s="1"/>
  <c r="H118" i="8"/>
  <c r="H117" i="8" s="1"/>
  <c r="H116" i="8" s="1"/>
  <c r="H112" i="8"/>
  <c r="H111" i="8" s="1"/>
  <c r="H110" i="8" s="1"/>
  <c r="H108" i="8"/>
  <c r="H107" i="8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E11" i="3" l="1"/>
  <c r="E19" i="3" s="1"/>
  <c r="I34" i="8"/>
  <c r="E41" i="3"/>
  <c r="E67" i="3" s="1"/>
  <c r="E69" i="3" s="1"/>
  <c r="E16" i="7"/>
  <c r="E15" i="7" s="1"/>
  <c r="F69" i="3"/>
  <c r="E34" i="8"/>
  <c r="E26" i="8" s="1"/>
  <c r="F9" i="8"/>
  <c r="F8" i="8" s="1"/>
  <c r="E9" i="8"/>
  <c r="E8" i="8" s="1"/>
  <c r="E126" i="8"/>
  <c r="H9" i="8"/>
  <c r="H8" i="8" s="1"/>
  <c r="I126" i="8"/>
  <c r="I26" i="8"/>
  <c r="I7" i="8" s="1"/>
  <c r="H126" i="8"/>
  <c r="H34" i="8"/>
  <c r="H26" i="8" s="1"/>
  <c r="F7" i="8"/>
  <c r="F6" i="8" s="1"/>
  <c r="E7" i="8" l="1"/>
  <c r="E6" i="8" s="1"/>
  <c r="H7" i="8"/>
  <c r="H6" i="8" s="1"/>
  <c r="I6" i="8"/>
</calcChain>
</file>

<file path=xl/sharedStrings.xml><?xml version="1.0" encoding="utf-8"?>
<sst xmlns="http://schemas.openxmlformats.org/spreadsheetml/2006/main" count="441" uniqueCount="224">
  <si>
    <t>PRIHODI UKUPNO</t>
  </si>
  <si>
    <t>RASHODI UKUPNO</t>
  </si>
  <si>
    <t>RAZLIKA - VIŠAK / MANJAK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</si>
  <si>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</si>
  <si>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</si>
  <si>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</si>
  <si>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</si>
  <si>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</si>
  <si>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</si>
  <si>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</si>
  <si>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</si>
  <si>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</si>
  <si>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</si>
  <si>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</si>
  <si>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</si>
  <si>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</si>
  <si>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</si>
  <si>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</si>
  <si>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</si>
  <si>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</si>
  <si>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</si>
  <si>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</si>
  <si>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</si>
  <si>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</si>
  <si>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</si>
  <si>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</si>
  <si>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</si>
  <si>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</si>
  <si>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</si>
  <si>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</si>
  <si>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</si>
  <si>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</si>
  <si>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</si>
  <si>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</si>
  <si>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</si>
  <si>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</si>
  <si>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</si>
  <si>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</si>
  <si>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</si>
  <si>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Naziv</t>
  </si>
  <si>
    <t>Prihodi od imovine</t>
  </si>
  <si>
    <t>Prihodi za posebne namjene</t>
  </si>
  <si>
    <t>Prihodi od upravnih i administrativnih pristojbi, pristojbi po posebnim propisima i naknada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</si>
  <si>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</si>
  <si>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</si>
  <si>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</si>
  <si>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</si>
  <si>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</si>
  <si>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</si>
  <si>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</si>
  <si>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</si>
  <si>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</si>
  <si>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</si>
  <si>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</si>
  <si>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</si>
  <si>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</si>
  <si>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</si>
  <si>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</si>
  <si>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</si>
  <si>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</si>
  <si>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</si>
  <si>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</si>
  <si>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</si>
  <si>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</si>
  <si>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</si>
  <si>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</si>
  <si>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</si>
  <si>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</si>
  <si>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</si>
  <si>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Rashodi finacirani prenesenim viškom prihoda iz prethodnih godina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</si>
  <si>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</si>
  <si>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</si>
  <si>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</si>
  <si>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</si>
  <si>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</si>
  <si>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</si>
  <si>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</si>
  <si>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</si>
  <si>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</si>
  <si>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</si>
  <si>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</si>
  <si>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</si>
  <si>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</si>
  <si>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</si>
  <si>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</si>
  <si>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</si>
  <si>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</si>
  <si>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</si>
  <si>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</si>
  <si>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</si>
  <si>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</si>
  <si>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</si>
  <si>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</si>
  <si>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</si>
  <si>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</si>
  <si>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</si>
  <si>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</si>
  <si>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</si>
  <si>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</si>
  <si>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</si>
  <si>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</si>
  <si>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</si>
  <si>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</si>
  <si>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</si>
  <si>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</si>
  <si>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</si>
  <si>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</si>
  <si>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</si>
  <si>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</si>
  <si>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</si>
  <si>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</si>
  <si>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</si>
  <si>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</si>
  <si>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</si>
  <si>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</si>
  <si>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</si>
  <si>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</si>
  <si>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</si>
  <si>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</si>
  <si>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</si>
  <si>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</si>
  <si>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</si>
  <si>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</si>
  <si>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</si>
  <si>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</si>
  <si>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</si>
  <si>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</si>
  <si>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</si>
  <si>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</si>
  <si>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</si>
  <si>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</si>
  <si>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</si>
  <si>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</si>
  <si>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</si>
  <si>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</si>
  <si>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</si>
  <si>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</si>
  <si>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</si>
  <si>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</si>
  <si>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</si>
  <si>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</si>
  <si>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</si>
  <si>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</si>
  <si>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</si>
  <si>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</si>
  <si>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</si>
  <si>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</si>
  <si>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</si>
  <si>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</si>
  <si>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</si>
  <si>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</si>
  <si>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</si>
  <si>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</si>
  <si>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</si>
  <si>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</si>
  <si>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</si>
  <si>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</si>
  <si>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</si>
  <si>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</si>
  <si>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</si>
  <si>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 xml:space="preserve">2023.g.     2.268.896 EUR : 12 mj : 620 djece=304,96 EUR EKONOMSKA CIJENA PO DJETETU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</si>
  <si>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</si>
  <si>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</si>
  <si>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</si>
  <si>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</si>
  <si>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</si>
  <si>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</si>
  <si>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</si>
  <si>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>Izvršenje 2022.*</t>
  </si>
  <si>
    <t>Plan 2023.</t>
  </si>
  <si>
    <t>Proračun za 2024.</t>
  </si>
  <si>
    <t>Projekcija proračuna
za 2025.</t>
  </si>
  <si>
    <t>Projekcija proračuna
za 2026.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</si>
  <si>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</si>
  <si>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</si>
  <si>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</si>
  <si>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MANJAK+NETO FINACIRANJE+PRIJENOS VIŠKA/MANJKA IZ PRETHODNE(IH) GODINE-PRIJENOS VIŠKA/MANJKA U SLJEDEĆE RAZDOBLJE</t>
  </si>
  <si>
    <t>D) VIŠEGODIŠNJI PLAN URAVNOTEŽENJA</t>
  </si>
  <si>
    <t>VIŠAK/MANJAK IZ PRETHODNE(IH) GODINE KOJI ĆE SE RASPOREDITI/POKRITI</t>
  </si>
  <si>
    <t>VIŠAK/MANJAK TEKUĆE GODINE</t>
  </si>
  <si>
    <t>* Napomena: Iznosi u stupcima Izvršenje 2022.  preračunavaju se iz kuna u eure prema fiksnom tečaju konverzije (1 EUR=7,53450 kuna) i po pravilima za preračunavanje i zaokruživanje.</t>
  </si>
  <si>
    <t>PRIHODI POSLOVANJA PREMA EKONOMSKOJ KLASIFIKACIJI</t>
  </si>
  <si>
    <t>Izvršenje 2022.</t>
  </si>
  <si>
    <t>Plan za 2024.</t>
  </si>
  <si>
    <t>Projekcija 
za 2026.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</si>
  <si>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</si>
  <si>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</si>
  <si>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</si>
  <si>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</si>
  <si>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</si>
  <si>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</si>
  <si>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</si>
  <si>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</si>
  <si>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</si>
  <si>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>B. RAČUN FINANCIRANJA PREMA EKONOMSKOJ KLASIFIKACIJI</t>
  </si>
  <si>
    <t>PRIMICI UKUPNO</t>
  </si>
  <si>
    <t>IZDACI UKUPNO</t>
  </si>
  <si>
    <t>8 Namjenski primici od zaduživanja</t>
  </si>
  <si>
    <t>81 Namjenski primici od zaduživanja</t>
  </si>
  <si>
    <t>11 Opći prihodi i primici</t>
  </si>
  <si>
    <t>B. RAČUN FINANCIRANJA PREMA IZVORIMA FINACIRANJA</t>
  </si>
  <si>
    <t xml:space="preserve">2024.g.     2.383.000,00 EUR : 12 mj : 624 djece=318,24 EUR EKONOMSKA CIJENA PO DJETETU </t>
  </si>
  <si>
    <t xml:space="preserve">  32 Vlastiti prihodi</t>
  </si>
  <si>
    <t>6 Donacije</t>
  </si>
  <si>
    <t>7 Prihodi od prodaje nef.imovine</t>
  </si>
  <si>
    <t xml:space="preserve"> 94 Prihodi za posebne namjene-višak</t>
  </si>
  <si>
    <t>Izvor financiranja 94</t>
  </si>
  <si>
    <t>Prihodi za posebne namjene-višak</t>
  </si>
  <si>
    <t>Fiksni tečaj konverzije 7,5345</t>
  </si>
  <si>
    <t xml:space="preserve">Fiksni tečaj konverzije </t>
  </si>
  <si>
    <t>Prihodi od prodaje proizvoda te pruženih usluga i prihodi od donacija</t>
  </si>
  <si>
    <t xml:space="preserve">9 Prijenos viška prihoda </t>
  </si>
  <si>
    <t>Izvor financiranja 70</t>
  </si>
  <si>
    <t xml:space="preserve"> 49 Prihodi za posebne namjene</t>
  </si>
  <si>
    <t xml:space="preserve">  59 Ostale pomoći</t>
  </si>
  <si>
    <t xml:space="preserve"> 69 Donacije</t>
  </si>
  <si>
    <t xml:space="preserve"> 70 Prihodi od nefinacijske imovine</t>
  </si>
  <si>
    <t xml:space="preserve"> 59 Pomoći</t>
  </si>
  <si>
    <t>32Vlastiti prihodi</t>
  </si>
  <si>
    <t xml:space="preserve"> FINANCIJSKI PLAN DJEČJEG VRTIĆA RADOST
ZA 2024. I PROJEKCIJA ZA 2025. I 2026. GODINU</t>
  </si>
  <si>
    <t>400-01/23-01/03</t>
  </si>
  <si>
    <t>URBROJ: 238-12-66-04-23-04</t>
  </si>
  <si>
    <t>Jastrebarsko, 13.12.2023.</t>
  </si>
  <si>
    <t>Napomena: Temeljem čl. 38. st. 7. Zakona o proračunu, Financijski plan DV Radost za 2024.-2026. usvojen je  dana 28.11.2023., danom usvajanja proračuna od strane Gradskog vijeća.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</si>
</sst>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7" fillId="2" borderId="3" xfId="0" applyFont="1" applyFill="1" applyBorder="1" applyAlignment="1">
      <alignment horizontal="left" vertical="center" wrapText="1"/>
    </xf>
    <xf numFmtId="3" fontId="18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7" fillId="2" borderId="3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7" fillId="2" borderId="3" xfId="1" applyNumberFormat="1" applyFont="1" applyFill="1" applyBorder="1" applyAlignment="1" applyProtection="1">
      <alignment shrinkToFit="1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3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3" fontId="15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0" fillId="2" borderId="1" xfId="0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left"/>
    </xf>
    <xf numFmtId="0" fontId="24" fillId="0" borderId="0" xfId="0" applyFont="1"/>
    <xf numFmtId="164" fontId="24" fillId="0" borderId="0" xfId="0" applyNumberFormat="1" applyFont="1" applyAlignment="1">
      <alignment wrapText="1"/>
    </xf>
    <xf numFmtId="164" fontId="23" fillId="0" borderId="0" xfId="0" applyNumberFormat="1" applyFont="1" applyAlignment="1">
      <alignment horizontal="left" wrapText="1"/>
    </xf>
    <xf numFmtId="164" fontId="24" fillId="0" borderId="0" xfId="0" applyNumberFormat="1" applyFont="1" applyAlignment="1">
      <alignment horizontal="left" wrapText="1"/>
    </xf>
    <xf numFmtId="4" fontId="0" fillId="0" borderId="0" xfId="0" applyNumberFormat="1"/>
    <xf numFmtId="0" fontId="25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1" fontId="0" fillId="0" borderId="0" xfId="0" applyNumberFormat="1"/>
    <xf numFmtId="3" fontId="19" fillId="0" borderId="0" xfId="0" applyNumberFormat="1" applyFont="1"/>
    <xf numFmtId="3" fontId="9" fillId="2" borderId="3" xfId="0" applyNumberFormat="1" applyFont="1" applyFill="1" applyBorder="1" applyAlignment="1">
      <alignment horizontal="right"/>
    </xf>
    <xf numFmtId="0" fontId="26" fillId="0" borderId="0" xfId="0" applyFont="1"/>
    <xf numFmtId="3" fontId="8" fillId="2" borderId="3" xfId="0" applyNumberFormat="1" applyFont="1" applyFill="1" applyBorder="1" applyAlignment="1">
      <alignment horizontal="right"/>
    </xf>
    <xf numFmtId="3" fontId="26" fillId="0" borderId="0" xfId="0" applyNumberFormat="1" applyFont="1"/>
    <xf numFmtId="3" fontId="15" fillId="2" borderId="3" xfId="0" applyNumberFormat="1" applyFont="1" applyFill="1" applyBorder="1" applyAlignment="1">
      <alignment horizontal="right" wrapText="1"/>
    </xf>
    <xf numFmtId="3" fontId="23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23" fillId="0" borderId="0" xfId="0" applyNumberFormat="1" applyFont="1" applyAlignment="1">
      <alignment horizontal="center" wrapText="1"/>
    </xf>
    <xf numFmtId="0" fontId="9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/>
    <xf numFmtId="3" fontId="6" fillId="2" borderId="3" xfId="0" applyNumberFormat="1" applyFont="1" applyFill="1" applyBorder="1"/>
    <xf numFmtId="3" fontId="3" fillId="2" borderId="3" xfId="0" applyNumberFormat="1" applyFont="1" applyFill="1" applyBorder="1"/>
    <xf numFmtId="3" fontId="6" fillId="4" borderId="3" xfId="0" applyNumberFormat="1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 wrapText="1"/>
    </xf>
    <xf numFmtId="4" fontId="17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5" fillId="2" borderId="4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19" fillId="0" borderId="0" xfId="0" applyNumberFormat="1" applyFont="1"/>
    <xf numFmtId="4" fontId="0" fillId="0" borderId="0" xfId="0" applyNumberFormat="1" applyAlignment="1">
      <alignment horizontal="right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26" fillId="0" borderId="0" xfId="0" applyNumberFormat="1" applyFont="1"/>
    <xf numFmtId="2" fontId="0" fillId="0" borderId="0" xfId="0" applyNumberFormat="1"/>
    <xf numFmtId="4" fontId="8" fillId="2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/>
    <xf numFmtId="0" fontId="7" fillId="2" borderId="4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wrapText="1"/>
    </xf>
    <xf numFmtId="0" fontId="27" fillId="0" borderId="0" xfId="0" applyFont="1"/>
    <xf numFmtId="3" fontId="27" fillId="0" borderId="0" xfId="0" applyNumberFormat="1" applyFont="1"/>
    <xf numFmtId="4" fontId="2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3" fontId="6" fillId="2" borderId="8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horizont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workbookViewId="0">
      <selection sqref="A1:J1"/>
    </sheetView>
  </sheetViews>
  <sheetFormatPr defaultRowHeight="15" x14ac:dyDescent="0.25"/>
  <cols>
    <col min="3" max="3" width="11.42578125" bestFit="1" customWidth="1"/>
    <col min="5" max="10" width="25.28515625" customWidth="1"/>
  </cols>
  <sheetData>
    <row r="1" spans="1:14" ht="42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79" t="s">
        <v>22</v>
      </c>
      <c r="B3" s="179"/>
      <c r="C3" s="179"/>
      <c r="D3" s="179"/>
      <c r="E3" s="179"/>
      <c r="F3" s="179"/>
      <c r="G3" s="179"/>
      <c r="H3" s="179"/>
      <c r="I3" s="180"/>
      <c r="J3" s="180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79" t="s">
        <v>29</v>
      </c>
      <c r="B5" s="190"/>
      <c r="C5" s="190"/>
      <c r="D5" s="190"/>
      <c r="E5" s="190"/>
      <c r="F5" s="190"/>
      <c r="G5" s="190"/>
      <c r="H5" s="190"/>
      <c r="I5" s="190"/>
      <c r="J5" s="190"/>
    </row>
    <row r="6" spans="1:14" ht="36.75" customHeight="1" x14ac:dyDescent="0.25">
      <c r="A6" s="94" t="s">
        <v>158</v>
      </c>
      <c r="B6" s="95"/>
      <c r="C6" s="96">
        <v>7.5345000000000004</v>
      </c>
      <c r="D6" s="1"/>
      <c r="E6" s="6"/>
      <c r="F6" s="7"/>
      <c r="G6" s="7"/>
      <c r="H6" s="7"/>
      <c r="I6" s="7"/>
      <c r="J6" s="100" t="s">
        <v>159</v>
      </c>
    </row>
    <row r="7" spans="1:14" ht="25.5" x14ac:dyDescent="0.25">
      <c r="A7" s="28"/>
      <c r="B7" s="29"/>
      <c r="C7" s="29"/>
      <c r="D7" s="30"/>
      <c r="E7" s="31"/>
      <c r="F7" s="3" t="s">
        <v>168</v>
      </c>
      <c r="G7" s="3" t="s">
        <v>169</v>
      </c>
      <c r="H7" s="3" t="s">
        <v>170</v>
      </c>
      <c r="I7" s="3" t="s">
        <v>171</v>
      </c>
      <c r="J7" s="3" t="s">
        <v>172</v>
      </c>
    </row>
    <row r="8" spans="1:14" x14ac:dyDescent="0.25">
      <c r="A8" s="181" t="s">
        <v>0</v>
      </c>
      <c r="B8" s="182"/>
      <c r="C8" s="182"/>
      <c r="D8" s="182"/>
      <c r="E8" s="183"/>
      <c r="F8" s="137">
        <f>15858369.93/C6</f>
        <v>2104767.3939876566</v>
      </c>
      <c r="G8" s="32">
        <v>2280672</v>
      </c>
      <c r="H8" s="32">
        <v>2378000</v>
      </c>
      <c r="I8" s="32">
        <v>2443000</v>
      </c>
      <c r="J8" s="32">
        <v>2436000</v>
      </c>
    </row>
    <row r="9" spans="1:14" x14ac:dyDescent="0.25">
      <c r="A9" s="184" t="s">
        <v>161</v>
      </c>
      <c r="B9" s="185"/>
      <c r="C9" s="185"/>
      <c r="D9" s="185"/>
      <c r="E9" s="186"/>
      <c r="F9" s="138">
        <f>15828370.93/C6</f>
        <v>2100785.8424580265</v>
      </c>
      <c r="G9" s="33">
        <v>2280672</v>
      </c>
      <c r="H9" s="33">
        <v>2378000</v>
      </c>
      <c r="I9" s="33">
        <v>2443000</v>
      </c>
      <c r="J9" s="33">
        <v>2436000</v>
      </c>
    </row>
    <row r="10" spans="1:14" x14ac:dyDescent="0.25">
      <c r="A10" s="187" t="s">
        <v>162</v>
      </c>
      <c r="B10" s="186"/>
      <c r="C10" s="186"/>
      <c r="D10" s="186"/>
      <c r="E10" s="186"/>
      <c r="F10" s="138">
        <f>29999/C6</f>
        <v>3981.5515296303665</v>
      </c>
      <c r="G10" s="33">
        <v>0</v>
      </c>
      <c r="H10" s="33">
        <v>0</v>
      </c>
      <c r="I10" s="33">
        <v>0</v>
      </c>
      <c r="J10" s="33">
        <v>0</v>
      </c>
    </row>
    <row r="11" spans="1:14" x14ac:dyDescent="0.25">
      <c r="A11" s="38" t="s">
        <v>1</v>
      </c>
      <c r="B11" s="39"/>
      <c r="C11" s="39"/>
      <c r="D11" s="39"/>
      <c r="E11" s="39"/>
      <c r="F11" s="137">
        <f>16037715.57/C6</f>
        <v>2128570.6510053752</v>
      </c>
      <c r="G11" s="32">
        <v>2306307</v>
      </c>
      <c r="H11" s="32">
        <v>2383000</v>
      </c>
      <c r="I11" s="32">
        <v>2443000</v>
      </c>
      <c r="J11" s="32">
        <v>2436000</v>
      </c>
    </row>
    <row r="12" spans="1:14" x14ac:dyDescent="0.25">
      <c r="A12" s="189" t="s">
        <v>163</v>
      </c>
      <c r="B12" s="185"/>
      <c r="C12" s="185"/>
      <c r="D12" s="185"/>
      <c r="E12" s="185"/>
      <c r="F12" s="138">
        <f>15957694.18/C6</f>
        <v>2117949.9873913331</v>
      </c>
      <c r="G12" s="33">
        <v>2284307</v>
      </c>
      <c r="H12" s="33">
        <f>H11-H13</f>
        <v>2379900</v>
      </c>
      <c r="I12" s="33">
        <f>I11-I13</f>
        <v>2440000</v>
      </c>
      <c r="J12" s="33">
        <f>J11-J13</f>
        <v>2433000</v>
      </c>
      <c r="L12" s="56"/>
      <c r="M12" s="56"/>
      <c r="N12" s="56"/>
    </row>
    <row r="13" spans="1:14" x14ac:dyDescent="0.25">
      <c r="A13" s="187" t="s">
        <v>164</v>
      </c>
      <c r="B13" s="186"/>
      <c r="C13" s="186"/>
      <c r="D13" s="186"/>
      <c r="E13" s="186"/>
      <c r="F13" s="138">
        <f>80021.39/C6</f>
        <v>10620.663614042072</v>
      </c>
      <c r="G13" s="33">
        <v>22000</v>
      </c>
      <c r="H13" s="33">
        <v>3100</v>
      </c>
      <c r="I13" s="33">
        <v>3000</v>
      </c>
      <c r="J13" s="33">
        <v>3000</v>
      </c>
      <c r="L13" s="56"/>
    </row>
    <row r="14" spans="1:14" x14ac:dyDescent="0.25">
      <c r="A14" s="188" t="s">
        <v>2</v>
      </c>
      <c r="B14" s="182"/>
      <c r="C14" s="182"/>
      <c r="D14" s="182"/>
      <c r="E14" s="182"/>
      <c r="F14" s="137">
        <f>-179345.64/C6</f>
        <v>-23803.257017718497</v>
      </c>
      <c r="G14" s="32">
        <v>-25635</v>
      </c>
      <c r="H14" s="32">
        <f>H8-H11</f>
        <v>-5000</v>
      </c>
      <c r="I14" s="34">
        <v>0</v>
      </c>
      <c r="J14" s="34">
        <v>0</v>
      </c>
    </row>
    <row r="15" spans="1:14" ht="18" x14ac:dyDescent="0.25">
      <c r="A15" s="4"/>
      <c r="B15" s="8"/>
      <c r="C15" s="8"/>
      <c r="D15" s="8"/>
      <c r="E15" s="8"/>
      <c r="F15" s="8"/>
      <c r="G15" s="8"/>
      <c r="H15" s="2"/>
      <c r="I15" s="171"/>
      <c r="J15" s="171"/>
    </row>
    <row r="16" spans="1:14" ht="18" customHeight="1" x14ac:dyDescent="0.25">
      <c r="A16" s="179" t="s">
        <v>30</v>
      </c>
      <c r="B16" s="190"/>
      <c r="C16" s="190"/>
      <c r="D16" s="190"/>
      <c r="E16" s="190"/>
      <c r="F16" s="190"/>
      <c r="G16" s="190"/>
      <c r="H16" s="190"/>
      <c r="I16" s="190"/>
      <c r="J16" s="190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ht="25.5" x14ac:dyDescent="0.25">
      <c r="A18" s="28"/>
      <c r="B18" s="29"/>
      <c r="C18" s="29"/>
      <c r="D18" s="30"/>
      <c r="E18" s="31"/>
      <c r="F18" s="3" t="s">
        <v>168</v>
      </c>
      <c r="G18" s="3" t="s">
        <v>169</v>
      </c>
      <c r="H18" s="3" t="s">
        <v>170</v>
      </c>
      <c r="I18" s="3" t="s">
        <v>171</v>
      </c>
      <c r="J18" s="3" t="s">
        <v>172</v>
      </c>
    </row>
    <row r="19" spans="1:12" ht="15.75" customHeight="1" x14ac:dyDescent="0.25">
      <c r="A19" s="184" t="s">
        <v>165</v>
      </c>
      <c r="B19" s="199"/>
      <c r="C19" s="199"/>
      <c r="D19" s="199"/>
      <c r="E19" s="200"/>
      <c r="F19" s="138">
        <v>0</v>
      </c>
      <c r="G19" s="33">
        <v>0</v>
      </c>
      <c r="H19" s="33">
        <v>0</v>
      </c>
      <c r="I19" s="33">
        <v>0</v>
      </c>
      <c r="J19" s="33">
        <v>0</v>
      </c>
    </row>
    <row r="20" spans="1:12" x14ac:dyDescent="0.25">
      <c r="A20" s="184" t="s">
        <v>166</v>
      </c>
      <c r="B20" s="185"/>
      <c r="C20" s="185"/>
      <c r="D20" s="185"/>
      <c r="E20" s="185"/>
      <c r="F20" s="138">
        <v>0</v>
      </c>
      <c r="G20" s="33">
        <v>0</v>
      </c>
      <c r="H20" s="33">
        <v>0</v>
      </c>
      <c r="I20" s="33">
        <v>0</v>
      </c>
      <c r="J20" s="33">
        <v>0</v>
      </c>
    </row>
    <row r="21" spans="1:12" x14ac:dyDescent="0.25">
      <c r="A21" s="188" t="s">
        <v>3</v>
      </c>
      <c r="B21" s="182"/>
      <c r="C21" s="182"/>
      <c r="D21" s="182"/>
      <c r="E21" s="182"/>
      <c r="F21" s="137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2" x14ac:dyDescent="0.25">
      <c r="A22" s="188" t="s">
        <v>167</v>
      </c>
      <c r="B22" s="182"/>
      <c r="C22" s="182"/>
      <c r="D22" s="182"/>
      <c r="E22" s="182"/>
      <c r="F22" s="137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2" ht="18" x14ac:dyDescent="0.25">
      <c r="A23" s="22"/>
      <c r="B23" s="8"/>
      <c r="C23" s="8"/>
      <c r="D23" s="8"/>
      <c r="E23" s="8"/>
      <c r="F23" s="8"/>
      <c r="G23" s="8"/>
      <c r="H23" s="2"/>
      <c r="I23" s="2"/>
      <c r="J23" s="2"/>
    </row>
    <row r="24" spans="1:12" ht="18" customHeight="1" x14ac:dyDescent="0.25">
      <c r="A24" s="179" t="s">
        <v>173</v>
      </c>
      <c r="B24" s="190"/>
      <c r="C24" s="190"/>
      <c r="D24" s="190"/>
      <c r="E24" s="190"/>
      <c r="F24" s="190"/>
      <c r="G24" s="190"/>
      <c r="H24" s="190"/>
      <c r="I24" s="190"/>
      <c r="J24" s="190"/>
    </row>
    <row r="25" spans="1:12" ht="18" x14ac:dyDescent="0.25">
      <c r="A25" s="22"/>
      <c r="B25" s="8"/>
      <c r="C25" s="8"/>
      <c r="D25" s="8"/>
      <c r="E25" s="8"/>
      <c r="F25" s="8"/>
      <c r="G25" s="8"/>
      <c r="H25" s="2"/>
      <c r="I25" s="2"/>
      <c r="J25" s="2"/>
    </row>
    <row r="26" spans="1:12" ht="25.5" x14ac:dyDescent="0.25">
      <c r="A26" s="28"/>
      <c r="B26" s="29"/>
      <c r="C26" s="29"/>
      <c r="D26" s="30"/>
      <c r="E26" s="31"/>
      <c r="F26" s="3" t="s">
        <v>168</v>
      </c>
      <c r="G26" s="3" t="s">
        <v>169</v>
      </c>
      <c r="H26" s="3" t="s">
        <v>170</v>
      </c>
      <c r="I26" s="3" t="s">
        <v>171</v>
      </c>
      <c r="J26" s="3" t="s">
        <v>172</v>
      </c>
    </row>
    <row r="27" spans="1:12" x14ac:dyDescent="0.25">
      <c r="A27" s="193" t="s">
        <v>174</v>
      </c>
      <c r="B27" s="194"/>
      <c r="C27" s="194"/>
      <c r="D27" s="194"/>
      <c r="E27" s="195"/>
      <c r="F27" s="139">
        <f>372495.92/C6</f>
        <v>49438.704625389866</v>
      </c>
      <c r="G27" s="35">
        <v>25635</v>
      </c>
      <c r="H27" s="35">
        <v>5000</v>
      </c>
      <c r="I27" s="35">
        <v>0</v>
      </c>
      <c r="J27" s="36">
        <v>0</v>
      </c>
    </row>
    <row r="28" spans="1:12" ht="22.5" customHeight="1" x14ac:dyDescent="0.25">
      <c r="A28" s="196" t="s">
        <v>175</v>
      </c>
      <c r="B28" s="197"/>
      <c r="C28" s="197"/>
      <c r="D28" s="197"/>
      <c r="E28" s="198"/>
      <c r="F28" s="140">
        <f>372495.92/C6</f>
        <v>49438.704625389866</v>
      </c>
      <c r="G28" s="37">
        <v>5000</v>
      </c>
      <c r="H28" s="37">
        <v>5000</v>
      </c>
      <c r="I28" s="37">
        <v>0</v>
      </c>
      <c r="J28" s="34">
        <v>0</v>
      </c>
    </row>
    <row r="29" spans="1:12" ht="42" customHeight="1" x14ac:dyDescent="0.25">
      <c r="A29" s="196" t="s">
        <v>176</v>
      </c>
      <c r="B29" s="197"/>
      <c r="C29" s="197"/>
      <c r="D29" s="197"/>
      <c r="E29" s="198"/>
      <c r="F29" s="140">
        <v>49438.7</v>
      </c>
      <c r="G29" s="37">
        <v>5000</v>
      </c>
      <c r="H29" s="37">
        <v>5000</v>
      </c>
      <c r="I29" s="37">
        <v>0</v>
      </c>
      <c r="J29" s="34">
        <v>0</v>
      </c>
    </row>
    <row r="31" spans="1:12" x14ac:dyDescent="0.25">
      <c r="A31" s="115"/>
      <c r="B31" s="116"/>
      <c r="C31" s="116"/>
      <c r="D31" s="116"/>
      <c r="E31" s="116"/>
      <c r="F31" s="102"/>
      <c r="G31" s="102"/>
      <c r="H31" s="102"/>
      <c r="I31" s="102"/>
      <c r="J31" s="102"/>
      <c r="L31" s="102"/>
    </row>
    <row r="32" spans="1:12" x14ac:dyDescent="0.25">
      <c r="A32" s="115"/>
      <c r="B32" s="116"/>
      <c r="C32" s="116"/>
      <c r="D32" s="116"/>
      <c r="E32" s="116"/>
      <c r="F32" s="102"/>
      <c r="G32" s="102"/>
      <c r="H32" s="102"/>
      <c r="I32" s="102"/>
      <c r="J32" s="102"/>
      <c r="L32" s="102"/>
    </row>
    <row r="33" spans="1:10" ht="21" customHeight="1" x14ac:dyDescent="0.25">
      <c r="A33" s="179" t="s">
        <v>177</v>
      </c>
      <c r="B33" s="190"/>
      <c r="C33" s="190"/>
      <c r="D33" s="190"/>
      <c r="E33" s="190"/>
      <c r="F33" s="190"/>
      <c r="G33" s="190"/>
      <c r="H33" s="190"/>
      <c r="I33" s="190"/>
      <c r="J33" s="190"/>
    </row>
    <row r="34" spans="1:10" ht="29.25" customHeight="1" x14ac:dyDescent="0.25">
      <c r="A34" s="22"/>
      <c r="B34" s="8"/>
      <c r="C34" s="8"/>
      <c r="D34" s="8"/>
      <c r="E34" s="8"/>
      <c r="F34" s="8"/>
      <c r="G34" s="8"/>
      <c r="H34" s="2"/>
      <c r="I34" s="2"/>
      <c r="J34" s="2"/>
    </row>
    <row r="35" spans="1:10" ht="27.75" customHeight="1" x14ac:dyDescent="0.25">
      <c r="A35" s="28"/>
      <c r="B35" s="29"/>
      <c r="C35" s="29"/>
      <c r="D35" s="30"/>
      <c r="E35" s="31"/>
      <c r="F35" s="3" t="s">
        <v>168</v>
      </c>
      <c r="G35" s="3" t="s">
        <v>169</v>
      </c>
      <c r="H35" s="3" t="s">
        <v>170</v>
      </c>
      <c r="I35" s="3" t="s">
        <v>171</v>
      </c>
      <c r="J35" s="3" t="s">
        <v>172</v>
      </c>
    </row>
    <row r="36" spans="1:10" ht="15" customHeight="1" x14ac:dyDescent="0.25">
      <c r="A36" s="193" t="s">
        <v>174</v>
      </c>
      <c r="B36" s="194"/>
      <c r="C36" s="194"/>
      <c r="D36" s="194"/>
      <c r="E36" s="195"/>
      <c r="F36" s="139">
        <v>0</v>
      </c>
      <c r="G36" s="35">
        <v>0</v>
      </c>
      <c r="H36" s="35">
        <v>0</v>
      </c>
      <c r="I36" s="35">
        <v>0</v>
      </c>
      <c r="J36" s="36">
        <v>0</v>
      </c>
    </row>
    <row r="37" spans="1:10" ht="28.5" customHeight="1" x14ac:dyDescent="0.25">
      <c r="A37" s="193" t="s">
        <v>178</v>
      </c>
      <c r="B37" s="194"/>
      <c r="C37" s="194"/>
      <c r="D37" s="194"/>
      <c r="E37" s="195"/>
      <c r="F37" s="139">
        <v>0</v>
      </c>
      <c r="G37" s="35">
        <v>0</v>
      </c>
      <c r="H37" s="35">
        <v>0</v>
      </c>
      <c r="I37" s="35">
        <v>0</v>
      </c>
      <c r="J37" s="36">
        <v>0</v>
      </c>
    </row>
    <row r="38" spans="1:10" ht="21.75" customHeight="1" x14ac:dyDescent="0.25">
      <c r="A38" s="193" t="s">
        <v>179</v>
      </c>
      <c r="B38" s="194"/>
      <c r="C38" s="194"/>
      <c r="D38" s="194"/>
      <c r="E38" s="195"/>
      <c r="F38" s="139">
        <v>0</v>
      </c>
      <c r="G38" s="35">
        <v>0</v>
      </c>
      <c r="H38" s="35">
        <v>0</v>
      </c>
      <c r="I38" s="35">
        <v>0</v>
      </c>
      <c r="J38" s="36">
        <v>0</v>
      </c>
    </row>
    <row r="39" spans="1:10" ht="21.75" customHeight="1" x14ac:dyDescent="0.25">
      <c r="A39" s="196" t="s">
        <v>175</v>
      </c>
      <c r="B39" s="197"/>
      <c r="C39" s="197"/>
      <c r="D39" s="197"/>
      <c r="E39" s="198"/>
      <c r="F39" s="140">
        <v>0</v>
      </c>
      <c r="G39" s="37">
        <v>0</v>
      </c>
      <c r="H39" s="37">
        <v>0</v>
      </c>
      <c r="I39" s="37">
        <v>0</v>
      </c>
      <c r="J39" s="34">
        <v>0</v>
      </c>
    </row>
    <row r="40" spans="1:10" ht="33" customHeight="1" x14ac:dyDescent="0.25"/>
    <row r="41" spans="1:10" x14ac:dyDescent="0.25">
      <c r="A41" s="191" t="s">
        <v>180</v>
      </c>
      <c r="B41" s="192"/>
      <c r="C41" s="192"/>
      <c r="D41" s="192"/>
      <c r="E41" s="192"/>
      <c r="F41" s="192"/>
      <c r="G41" s="192"/>
      <c r="H41" s="192"/>
      <c r="I41" s="192"/>
      <c r="J41" s="192"/>
    </row>
    <row r="43" spans="1:10" ht="38.25" customHeight="1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103"/>
      <c r="B44" s="104"/>
      <c r="C44" s="104"/>
      <c r="D44" s="104"/>
      <c r="E44" s="104"/>
      <c r="F44" s="104"/>
      <c r="G44" s="104"/>
      <c r="H44" s="104"/>
      <c r="I44" s="104"/>
      <c r="J44" s="104"/>
    </row>
  </sheetData>
  <mergeCells count="24">
    <mergeCell ref="A41:J41"/>
    <mergeCell ref="A27:E27"/>
    <mergeCell ref="A29:E29"/>
    <mergeCell ref="A19:E19"/>
    <mergeCell ref="A20:E20"/>
    <mergeCell ref="A21:E21"/>
    <mergeCell ref="A22:E22"/>
    <mergeCell ref="A33:J33"/>
    <mergeCell ref="A36:E36"/>
    <mergeCell ref="A39:E39"/>
    <mergeCell ref="A28:E28"/>
    <mergeCell ref="A37:E37"/>
    <mergeCell ref="A38:E38"/>
    <mergeCell ref="A24:J24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topLeftCell="A4" workbookViewId="0">
      <selection activeCell="G14" sqref="G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5703125" customWidth="1"/>
    <col min="4" max="9" width="25.28515625" customWidth="1"/>
    <col min="10" max="10" width="9.140625" bestFit="1" customWidth="1"/>
    <col min="11" max="11" width="17.42578125" customWidth="1"/>
    <col min="12" max="12" width="13.7109375" bestFit="1" customWidth="1"/>
    <col min="13" max="14" width="13.7109375" customWidth="1"/>
    <col min="15" max="16" width="10.140625" bestFit="1" customWidth="1"/>
    <col min="17" max="17" width="15.85546875" customWidth="1"/>
    <col min="18" max="18" width="12.5703125" customWidth="1"/>
    <col min="19" max="19" width="11.42578125" customWidth="1"/>
  </cols>
  <sheetData>
    <row r="1" spans="1:16" ht="42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6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6" ht="15.75" x14ac:dyDescent="0.25">
      <c r="A3" s="179" t="s">
        <v>22</v>
      </c>
      <c r="B3" s="179"/>
      <c r="C3" s="179"/>
      <c r="D3" s="179"/>
      <c r="E3" s="179"/>
      <c r="F3" s="179"/>
      <c r="G3" s="179"/>
      <c r="H3" s="180"/>
      <c r="I3" s="180"/>
    </row>
    <row r="4" spans="1:16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6" ht="18" customHeight="1" x14ac:dyDescent="0.25">
      <c r="A5" s="179" t="s">
        <v>7</v>
      </c>
      <c r="B5" s="190"/>
      <c r="C5" s="190"/>
      <c r="D5" s="190"/>
      <c r="E5" s="190"/>
      <c r="F5" s="190"/>
      <c r="G5" s="190"/>
      <c r="H5" s="190"/>
      <c r="I5" s="190"/>
    </row>
    <row r="6" spans="1:16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6" ht="15.75" x14ac:dyDescent="0.25">
      <c r="A7" s="179" t="s">
        <v>181</v>
      </c>
      <c r="B7" s="201"/>
      <c r="C7" s="201"/>
      <c r="D7" s="201"/>
      <c r="E7" s="201"/>
      <c r="F7" s="201"/>
      <c r="G7" s="201"/>
      <c r="H7" s="201"/>
      <c r="I7" s="201"/>
    </row>
    <row r="8" spans="1:16" ht="18" x14ac:dyDescent="0.25">
      <c r="A8" s="94" t="s">
        <v>158</v>
      </c>
      <c r="B8" s="95"/>
      <c r="C8" s="96"/>
      <c r="D8" s="98">
        <v>7.5345000000000004</v>
      </c>
      <c r="E8" s="6"/>
      <c r="F8" s="7"/>
      <c r="G8" s="7"/>
      <c r="H8" s="7"/>
      <c r="I8" s="100" t="s">
        <v>159</v>
      </c>
    </row>
    <row r="9" spans="1:16" ht="25.5" x14ac:dyDescent="0.25">
      <c r="A9" s="21" t="s">
        <v>8</v>
      </c>
      <c r="B9" s="20" t="s">
        <v>9</v>
      </c>
      <c r="C9" s="20"/>
      <c r="D9" s="20" t="s">
        <v>6</v>
      </c>
      <c r="E9" s="20" t="s">
        <v>182</v>
      </c>
      <c r="F9" s="21" t="s">
        <v>169</v>
      </c>
      <c r="G9" s="21" t="s">
        <v>183</v>
      </c>
      <c r="H9" s="21" t="s">
        <v>33</v>
      </c>
      <c r="I9" s="21" t="s">
        <v>184</v>
      </c>
    </row>
    <row r="10" spans="1:16" x14ac:dyDescent="0.25">
      <c r="A10" s="3"/>
      <c r="B10" s="66"/>
      <c r="C10" s="66"/>
      <c r="D10" s="27" t="s">
        <v>0</v>
      </c>
      <c r="E10" s="160">
        <v>2104767.39</v>
      </c>
      <c r="F10" s="169">
        <v>2280672</v>
      </c>
      <c r="G10" s="168">
        <v>2378000</v>
      </c>
      <c r="H10" s="168">
        <v>2443000</v>
      </c>
      <c r="I10" s="168">
        <v>2436000</v>
      </c>
    </row>
    <row r="11" spans="1:16" ht="15.75" customHeight="1" x14ac:dyDescent="0.25">
      <c r="A11" s="12">
        <v>6</v>
      </c>
      <c r="B11" s="12"/>
      <c r="C11" s="12"/>
      <c r="D11" s="12" t="s">
        <v>10</v>
      </c>
      <c r="E11" s="160">
        <f>SUM(E12:E16)</f>
        <v>2100785.8372705556</v>
      </c>
      <c r="F11" s="45">
        <v>2280672</v>
      </c>
      <c r="G11" s="46">
        <v>2378000</v>
      </c>
      <c r="H11" s="46">
        <f>SUM(H12:H16)</f>
        <v>2443000</v>
      </c>
      <c r="I11" s="46">
        <f>SUM(I12:I16)</f>
        <v>2436000</v>
      </c>
      <c r="L11" s="56"/>
      <c r="M11" s="56"/>
      <c r="N11" s="56"/>
      <c r="O11" s="56"/>
      <c r="P11" s="56"/>
    </row>
    <row r="12" spans="1:16" s="50" customFormat="1" ht="38.25" x14ac:dyDescent="0.25">
      <c r="A12" s="48"/>
      <c r="B12" s="48">
        <v>63</v>
      </c>
      <c r="C12" s="48"/>
      <c r="D12" s="48" t="s">
        <v>35</v>
      </c>
      <c r="E12" s="142">
        <v>16179</v>
      </c>
      <c r="F12" s="49">
        <v>17043</v>
      </c>
      <c r="G12" s="49">
        <f>5900+11100</f>
        <v>17000</v>
      </c>
      <c r="H12" s="49">
        <v>17000</v>
      </c>
      <c r="I12" s="49">
        <v>17000</v>
      </c>
      <c r="K12" s="106"/>
      <c r="L12" s="56"/>
      <c r="M12" s="56"/>
      <c r="N12" s="56"/>
      <c r="O12" s="56"/>
      <c r="P12" s="56"/>
    </row>
    <row r="13" spans="1:16" s="50" customFormat="1" x14ac:dyDescent="0.25">
      <c r="A13" s="51"/>
      <c r="B13" s="51">
        <v>64</v>
      </c>
      <c r="C13" s="51"/>
      <c r="D13" s="53" t="s">
        <v>40</v>
      </c>
      <c r="E13" s="142">
        <f>7.07/D8</f>
        <v>0.93835025549140616</v>
      </c>
      <c r="F13" s="49">
        <v>10</v>
      </c>
      <c r="G13" s="49">
        <v>100</v>
      </c>
      <c r="H13" s="49">
        <v>100</v>
      </c>
      <c r="I13" s="49">
        <v>100</v>
      </c>
      <c r="K13" s="158"/>
      <c r="L13" s="56"/>
      <c r="M13" s="56"/>
      <c r="N13" s="56"/>
      <c r="O13" s="56"/>
      <c r="P13" s="56"/>
    </row>
    <row r="14" spans="1:16" s="50" customFormat="1" ht="51" x14ac:dyDescent="0.25">
      <c r="A14" s="51"/>
      <c r="B14" s="51">
        <v>65</v>
      </c>
      <c r="C14" s="51"/>
      <c r="D14" s="53" t="s">
        <v>42</v>
      </c>
      <c r="E14" s="142">
        <f>4401440.44/D8</f>
        <v>584171.53626650746</v>
      </c>
      <c r="F14" s="49">
        <v>612664</v>
      </c>
      <c r="G14" s="49">
        <v>615200</v>
      </c>
      <c r="H14" s="49">
        <v>616000</v>
      </c>
      <c r="I14" s="49">
        <v>616000</v>
      </c>
      <c r="K14" s="106"/>
      <c r="L14" s="106"/>
      <c r="M14" s="106"/>
      <c r="N14" s="56"/>
      <c r="O14" s="56"/>
      <c r="P14" s="56"/>
    </row>
    <row r="15" spans="1:16" s="50" customFormat="1" ht="51" x14ac:dyDescent="0.25">
      <c r="A15" s="51"/>
      <c r="B15" s="51">
        <v>66</v>
      </c>
      <c r="C15" s="51"/>
      <c r="D15" s="53" t="s">
        <v>210</v>
      </c>
      <c r="E15" s="142">
        <f>15900/D8</f>
        <v>2110.2926537925541</v>
      </c>
      <c r="F15" s="49">
        <v>4220</v>
      </c>
      <c r="G15" s="49">
        <v>3200</v>
      </c>
      <c r="H15" s="49">
        <v>3200</v>
      </c>
      <c r="I15" s="49">
        <v>3200</v>
      </c>
      <c r="L15" s="56"/>
      <c r="M15" s="56"/>
      <c r="N15" s="56"/>
      <c r="O15" s="56"/>
      <c r="P15" s="56"/>
    </row>
    <row r="16" spans="1:16" s="50" customFormat="1" ht="51" x14ac:dyDescent="0.25">
      <c r="A16" s="51"/>
      <c r="B16" s="51">
        <v>67</v>
      </c>
      <c r="C16" s="51"/>
      <c r="D16" s="48" t="s">
        <v>36</v>
      </c>
      <c r="E16" s="142">
        <v>1498324.07</v>
      </c>
      <c r="F16" s="49">
        <v>1646735</v>
      </c>
      <c r="G16" s="49">
        <f>1670000+40000+32500</f>
        <v>1742500</v>
      </c>
      <c r="H16" s="49">
        <f>1787900+18800</f>
        <v>1806700</v>
      </c>
      <c r="I16" s="49">
        <f>1783700+16000</f>
        <v>1799700</v>
      </c>
      <c r="L16" s="56"/>
      <c r="M16" s="56"/>
      <c r="N16" s="56"/>
      <c r="O16" s="56"/>
      <c r="P16" s="56"/>
    </row>
    <row r="17" spans="1:19" ht="25.5" x14ac:dyDescent="0.25">
      <c r="A17" s="15">
        <v>7</v>
      </c>
      <c r="B17" s="15"/>
      <c r="C17" s="15"/>
      <c r="D17" s="23" t="s">
        <v>12</v>
      </c>
      <c r="E17" s="141">
        <v>3981.55</v>
      </c>
      <c r="F17" s="46">
        <v>0</v>
      </c>
      <c r="G17" s="10">
        <v>0</v>
      </c>
      <c r="H17" s="10">
        <v>0</v>
      </c>
      <c r="I17" s="10">
        <v>0</v>
      </c>
      <c r="L17" s="56"/>
      <c r="M17" s="56"/>
      <c r="N17" s="56"/>
      <c r="O17" s="56"/>
      <c r="P17" s="56"/>
    </row>
    <row r="18" spans="1:19" s="50" customFormat="1" ht="38.25" x14ac:dyDescent="0.25">
      <c r="A18" s="48"/>
      <c r="B18" s="48">
        <v>72</v>
      </c>
      <c r="C18" s="48"/>
      <c r="D18" s="54" t="s">
        <v>34</v>
      </c>
      <c r="E18" s="142">
        <f>29999/D8</f>
        <v>3981.5515296303665</v>
      </c>
      <c r="F18" s="49">
        <v>0</v>
      </c>
      <c r="G18" s="49">
        <v>0</v>
      </c>
      <c r="H18" s="49">
        <v>0</v>
      </c>
      <c r="I18" s="49">
        <v>0</v>
      </c>
      <c r="L18" s="56"/>
      <c r="M18" s="56"/>
      <c r="N18" s="56"/>
      <c r="O18" s="56"/>
      <c r="P18" s="56"/>
    </row>
    <row r="19" spans="1:19" x14ac:dyDescent="0.25">
      <c r="A19" s="209" t="s">
        <v>72</v>
      </c>
      <c r="B19" s="210"/>
      <c r="C19" s="210"/>
      <c r="D19" s="210"/>
      <c r="E19" s="211">
        <f>SUM(E17,E11)</f>
        <v>2104767.3872705554</v>
      </c>
      <c r="F19" s="204">
        <f>SUM(F11,F17,)</f>
        <v>2280672</v>
      </c>
      <c r="G19" s="202">
        <f>SUM(G12,G13,G14,G15,G16,)</f>
        <v>2378000</v>
      </c>
      <c r="H19" s="204">
        <f>H17+H11</f>
        <v>2443000</v>
      </c>
      <c r="I19" s="204">
        <f>I17+I11</f>
        <v>2436000</v>
      </c>
      <c r="L19" s="56"/>
      <c r="M19" s="56"/>
      <c r="N19" s="56"/>
      <c r="O19" s="56"/>
      <c r="P19" s="56"/>
      <c r="Q19" s="56"/>
      <c r="R19" s="56"/>
      <c r="S19" s="56"/>
    </row>
    <row r="20" spans="1:19" x14ac:dyDescent="0.25">
      <c r="A20" s="210"/>
      <c r="B20" s="210"/>
      <c r="C20" s="210"/>
      <c r="D20" s="210"/>
      <c r="E20" s="211"/>
      <c r="F20" s="204"/>
      <c r="G20" s="203"/>
      <c r="H20" s="204"/>
      <c r="I20" s="204"/>
      <c r="K20" s="56"/>
      <c r="L20" s="56"/>
      <c r="M20" s="56"/>
      <c r="N20" s="56"/>
      <c r="O20" s="56"/>
      <c r="P20" s="56"/>
    </row>
    <row r="21" spans="1:19" x14ac:dyDescent="0.25">
      <c r="E21" s="105"/>
      <c r="F21" s="105"/>
      <c r="G21" s="105"/>
      <c r="H21" s="105"/>
      <c r="I21" s="105"/>
    </row>
    <row r="37" spans="1:16" ht="15.75" x14ac:dyDescent="0.25">
      <c r="A37" s="179" t="s">
        <v>185</v>
      </c>
      <c r="B37" s="201"/>
      <c r="C37" s="201"/>
      <c r="D37" s="201"/>
      <c r="E37" s="201"/>
      <c r="F37" s="201"/>
      <c r="G37" s="201"/>
      <c r="H37" s="201"/>
      <c r="I37" s="201"/>
    </row>
    <row r="38" spans="1:16" ht="36.75" customHeight="1" x14ac:dyDescent="0.25">
      <c r="A38" s="94" t="s">
        <v>158</v>
      </c>
      <c r="B38" s="95"/>
      <c r="C38" s="96"/>
      <c r="D38" s="98">
        <v>7.5345000000000004</v>
      </c>
      <c r="E38" s="6"/>
      <c r="F38" s="7"/>
      <c r="G38" s="7"/>
      <c r="H38" s="7"/>
      <c r="I38" s="100" t="s">
        <v>159</v>
      </c>
    </row>
    <row r="39" spans="1:16" ht="25.5" x14ac:dyDescent="0.25">
      <c r="A39" s="21" t="s">
        <v>8</v>
      </c>
      <c r="B39" s="20" t="s">
        <v>9</v>
      </c>
      <c r="C39" s="20"/>
      <c r="D39" s="20" t="s">
        <v>13</v>
      </c>
      <c r="E39" s="20" t="s">
        <v>182</v>
      </c>
      <c r="F39" s="21" t="s">
        <v>169</v>
      </c>
      <c r="G39" s="21" t="s">
        <v>183</v>
      </c>
      <c r="H39" s="21" t="s">
        <v>33</v>
      </c>
      <c r="I39" s="21" t="s">
        <v>184</v>
      </c>
    </row>
    <row r="40" spans="1:16" x14ac:dyDescent="0.25">
      <c r="A40" s="3"/>
      <c r="B40" s="66"/>
      <c r="C40" s="66"/>
      <c r="D40" s="27" t="s">
        <v>1</v>
      </c>
      <c r="E40" s="160">
        <v>2128570.65</v>
      </c>
      <c r="F40" s="113">
        <f>F41+F65</f>
        <v>2306307</v>
      </c>
      <c r="G40" s="168">
        <v>2383000</v>
      </c>
      <c r="H40" s="168">
        <v>2443000</v>
      </c>
      <c r="I40" s="168">
        <v>2436000</v>
      </c>
    </row>
    <row r="41" spans="1:16" ht="15.75" customHeight="1" x14ac:dyDescent="0.25">
      <c r="A41" s="12">
        <v>3</v>
      </c>
      <c r="B41" s="12"/>
      <c r="C41" s="12"/>
      <c r="D41" s="12" t="s">
        <v>14</v>
      </c>
      <c r="E41" s="143">
        <f>SUM(E42:E64)</f>
        <v>2117949.9878080827</v>
      </c>
      <c r="F41" s="122">
        <v>2284307</v>
      </c>
      <c r="G41" s="46">
        <f>G40-G65</f>
        <v>2379900</v>
      </c>
      <c r="H41" s="46">
        <f>SUM(H42:H64)</f>
        <v>2440000</v>
      </c>
      <c r="I41" s="46">
        <f>SUM(I42:I64)</f>
        <v>2433000</v>
      </c>
      <c r="J41" s="56"/>
      <c r="K41" s="56"/>
      <c r="L41" s="97"/>
      <c r="M41" s="99"/>
    </row>
    <row r="42" spans="1:16" s="50" customFormat="1" ht="15.75" customHeight="1" x14ac:dyDescent="0.25">
      <c r="A42" s="48"/>
      <c r="B42" s="48">
        <v>31</v>
      </c>
      <c r="C42" s="48"/>
      <c r="D42" s="48" t="s">
        <v>15</v>
      </c>
      <c r="E42" s="142">
        <v>1660673.62</v>
      </c>
      <c r="F42" s="123">
        <v>1814367</v>
      </c>
      <c r="G42" s="49">
        <v>1916900</v>
      </c>
      <c r="H42" s="49">
        <v>1974500</v>
      </c>
      <c r="I42" s="49">
        <v>1967100</v>
      </c>
      <c r="K42" s="99"/>
      <c r="L42" s="56"/>
      <c r="M42" s="56"/>
    </row>
    <row r="43" spans="1:16" s="47" customFormat="1" x14ac:dyDescent="0.25">
      <c r="A43" s="25"/>
      <c r="B43" s="25">
        <v>32</v>
      </c>
      <c r="C43" s="51"/>
      <c r="D43" s="25" t="s">
        <v>25</v>
      </c>
      <c r="E43" s="141">
        <v>429968.5</v>
      </c>
      <c r="F43" s="124">
        <v>427487</v>
      </c>
      <c r="G43" s="46">
        <f>409500+11100</f>
        <v>420600</v>
      </c>
      <c r="H43" s="46">
        <f>411900+11100</f>
        <v>423000</v>
      </c>
      <c r="I43" s="46">
        <f>412200+11100</f>
        <v>423300</v>
      </c>
      <c r="K43" s="159"/>
      <c r="L43" s="114"/>
      <c r="M43" s="114"/>
      <c r="N43" s="114"/>
      <c r="O43" s="113"/>
      <c r="P43" s="113"/>
    </row>
    <row r="44" spans="1:16" x14ac:dyDescent="0.25">
      <c r="A44" s="13"/>
      <c r="B44" s="25">
        <v>34</v>
      </c>
      <c r="C44" s="14"/>
      <c r="D44" s="25" t="s">
        <v>45</v>
      </c>
      <c r="E44" s="141">
        <f>19797.33/D38</f>
        <v>2627.557236711129</v>
      </c>
      <c r="F44" s="124">
        <v>2323</v>
      </c>
      <c r="G44" s="46">
        <v>2400</v>
      </c>
      <c r="H44" s="46">
        <v>2500</v>
      </c>
      <c r="I44" s="46">
        <v>2600</v>
      </c>
      <c r="K44" s="56"/>
      <c r="L44" s="112"/>
      <c r="M44" s="112"/>
      <c r="N44" s="112"/>
      <c r="O44" s="56"/>
      <c r="P44" s="56"/>
    </row>
    <row r="45" spans="1:16" ht="15" hidden="1" customHeight="1" x14ac:dyDescent="0.25">
      <c r="A45" s="13"/>
      <c r="B45" s="25"/>
      <c r="C45" s="14">
        <v>49</v>
      </c>
      <c r="D45" s="18" t="s">
        <v>41</v>
      </c>
      <c r="E45" s="144"/>
      <c r="F45" s="125"/>
      <c r="G45" s="10"/>
      <c r="H45" s="10"/>
      <c r="I45" s="10"/>
      <c r="K45" s="56"/>
      <c r="L45" s="112"/>
      <c r="M45" s="56"/>
      <c r="N45" s="56"/>
      <c r="O45" s="56"/>
      <c r="P45" s="56"/>
    </row>
    <row r="46" spans="1:16" ht="38.25" hidden="1" customHeight="1" x14ac:dyDescent="0.25">
      <c r="A46" s="13"/>
      <c r="B46" s="25">
        <v>37</v>
      </c>
      <c r="C46" s="14"/>
      <c r="D46" s="52" t="s">
        <v>46</v>
      </c>
      <c r="E46" s="141"/>
      <c r="F46" s="124"/>
      <c r="G46" s="10"/>
      <c r="H46" s="10"/>
      <c r="I46" s="10"/>
      <c r="K46" s="56"/>
      <c r="L46" s="112"/>
      <c r="M46" s="56"/>
      <c r="N46" s="56"/>
      <c r="O46" s="56"/>
      <c r="P46" s="56"/>
    </row>
    <row r="47" spans="1:16" ht="15" hidden="1" customHeight="1" x14ac:dyDescent="0.25">
      <c r="A47" s="13"/>
      <c r="B47" s="25"/>
      <c r="C47" s="14">
        <v>11</v>
      </c>
      <c r="D47" s="14" t="s">
        <v>11</v>
      </c>
      <c r="E47" s="144"/>
      <c r="F47" s="125"/>
      <c r="G47" s="10"/>
      <c r="H47" s="10"/>
      <c r="I47" s="10"/>
      <c r="K47" s="56"/>
      <c r="L47" s="112"/>
      <c r="M47" s="56"/>
      <c r="N47" s="56"/>
      <c r="O47" s="56"/>
      <c r="P47" s="56"/>
    </row>
    <row r="48" spans="1:16" ht="15" hidden="1" customHeight="1" x14ac:dyDescent="0.25">
      <c r="A48" s="13"/>
      <c r="B48" s="25">
        <v>38</v>
      </c>
      <c r="C48" s="14"/>
      <c r="D48" s="51" t="s">
        <v>47</v>
      </c>
      <c r="E48" s="141"/>
      <c r="F48" s="124"/>
      <c r="G48" s="10"/>
      <c r="H48" s="10"/>
      <c r="I48" s="10"/>
      <c r="K48" s="56"/>
      <c r="L48" s="112"/>
      <c r="M48" s="56"/>
      <c r="N48" s="56"/>
      <c r="O48" s="56"/>
      <c r="P48" s="56"/>
    </row>
    <row r="49" spans="1:16" ht="15" hidden="1" customHeight="1" x14ac:dyDescent="0.25">
      <c r="A49" s="13"/>
      <c r="B49" s="25"/>
      <c r="C49" s="14">
        <v>69</v>
      </c>
      <c r="D49" s="14" t="s">
        <v>43</v>
      </c>
      <c r="E49" s="144"/>
      <c r="F49" s="125"/>
      <c r="G49" s="10"/>
      <c r="H49" s="10"/>
      <c r="I49" s="10"/>
      <c r="K49" s="56"/>
      <c r="L49" s="112"/>
      <c r="M49" s="56"/>
      <c r="N49" s="56"/>
      <c r="O49" s="56"/>
      <c r="P49" s="56"/>
    </row>
    <row r="50" spans="1:16" ht="25.5" hidden="1" customHeight="1" x14ac:dyDescent="0.25">
      <c r="A50" s="15">
        <v>4</v>
      </c>
      <c r="B50" s="15"/>
      <c r="C50" s="15"/>
      <c r="D50" s="23" t="s">
        <v>16</v>
      </c>
      <c r="E50" s="141"/>
      <c r="F50" s="124"/>
      <c r="G50" s="10"/>
      <c r="H50" s="10"/>
      <c r="I50" s="10"/>
      <c r="K50" s="56"/>
      <c r="L50" s="112"/>
      <c r="M50" s="56"/>
      <c r="N50" s="56"/>
      <c r="O50" s="56"/>
      <c r="P50" s="56"/>
    </row>
    <row r="51" spans="1:16" ht="38.25" hidden="1" customHeight="1" x14ac:dyDescent="0.25">
      <c r="A51" s="16"/>
      <c r="B51" s="12">
        <v>42</v>
      </c>
      <c r="C51" s="12"/>
      <c r="D51" s="23" t="s">
        <v>38</v>
      </c>
      <c r="E51" s="141"/>
      <c r="F51" s="124"/>
      <c r="G51" s="10"/>
      <c r="H51" s="10"/>
      <c r="I51" s="11"/>
      <c r="K51" s="56"/>
      <c r="L51" s="112"/>
      <c r="M51" s="56"/>
      <c r="N51" s="56"/>
      <c r="O51" s="56"/>
      <c r="P51" s="56"/>
    </row>
    <row r="52" spans="1:16" ht="15" hidden="1" customHeight="1" x14ac:dyDescent="0.25">
      <c r="A52" s="16"/>
      <c r="B52" s="16"/>
      <c r="C52" s="14">
        <v>49</v>
      </c>
      <c r="D52" s="18" t="s">
        <v>41</v>
      </c>
      <c r="E52" s="144"/>
      <c r="F52" s="125"/>
      <c r="G52" s="10"/>
      <c r="H52" s="10"/>
      <c r="I52" s="11"/>
      <c r="K52" s="56"/>
      <c r="L52" s="112"/>
      <c r="M52" s="56"/>
      <c r="N52" s="56"/>
      <c r="O52" s="56"/>
      <c r="P52" s="56"/>
    </row>
    <row r="53" spans="1:16" ht="25.5" hidden="1" customHeight="1" x14ac:dyDescent="0.25">
      <c r="A53" s="16"/>
      <c r="B53" s="16"/>
      <c r="C53" s="14">
        <v>79</v>
      </c>
      <c r="D53" s="18" t="s">
        <v>44</v>
      </c>
      <c r="E53" s="144"/>
      <c r="F53" s="125"/>
      <c r="G53" s="10"/>
      <c r="H53" s="10"/>
      <c r="I53" s="11"/>
      <c r="K53" s="56"/>
      <c r="L53" s="112"/>
      <c r="M53" s="56"/>
      <c r="N53" s="56"/>
      <c r="O53" s="56"/>
      <c r="P53" s="56"/>
    </row>
    <row r="54" spans="1:16" ht="15" hidden="1" customHeight="1" x14ac:dyDescent="0.25">
      <c r="A54" s="209" t="s">
        <v>73</v>
      </c>
      <c r="B54" s="210"/>
      <c r="C54" s="210"/>
      <c r="D54" s="210"/>
      <c r="E54" s="211"/>
      <c r="F54" s="212"/>
      <c r="G54" s="213"/>
      <c r="H54" s="213"/>
      <c r="I54" s="205"/>
      <c r="K54" s="56"/>
      <c r="L54" s="112"/>
      <c r="M54" s="56"/>
      <c r="N54" s="56"/>
      <c r="O54" s="56"/>
      <c r="P54" s="56"/>
    </row>
    <row r="55" spans="1:16" ht="15" hidden="1" customHeight="1" x14ac:dyDescent="0.25">
      <c r="A55" s="210"/>
      <c r="B55" s="210"/>
      <c r="C55" s="210"/>
      <c r="D55" s="210"/>
      <c r="E55" s="211"/>
      <c r="F55" s="212"/>
      <c r="G55" s="213"/>
      <c r="H55" s="213"/>
      <c r="I55" s="205"/>
      <c r="K55" s="56"/>
      <c r="L55" s="112"/>
      <c r="M55" s="56"/>
      <c r="N55" s="56"/>
      <c r="O55" s="56"/>
      <c r="P55" s="56"/>
    </row>
    <row r="56" spans="1:16" ht="15" hidden="1" customHeight="1" x14ac:dyDescent="0.25">
      <c r="E56" s="159"/>
      <c r="F56" s="56"/>
      <c r="G56" s="56"/>
      <c r="H56" s="56"/>
      <c r="I56" s="56"/>
      <c r="K56" s="56"/>
      <c r="L56" s="112"/>
      <c r="M56" s="56"/>
      <c r="N56" s="56"/>
      <c r="O56" s="56"/>
      <c r="P56" s="56"/>
    </row>
    <row r="57" spans="1:16" ht="15" hidden="1" customHeight="1" x14ac:dyDescent="0.25">
      <c r="E57" s="159"/>
      <c r="F57" s="56"/>
      <c r="G57" s="56"/>
      <c r="H57" s="56"/>
      <c r="I57" s="56"/>
      <c r="K57" s="56"/>
      <c r="L57" s="112"/>
      <c r="M57" s="56"/>
      <c r="N57" s="56"/>
      <c r="O57" s="56"/>
      <c r="P57" s="56"/>
    </row>
    <row r="58" spans="1:16" hidden="1" x14ac:dyDescent="0.25">
      <c r="E58" s="159"/>
      <c r="F58" s="56"/>
      <c r="G58" s="56"/>
      <c r="H58" s="56"/>
      <c r="I58" s="56"/>
      <c r="K58" s="56"/>
      <c r="L58" s="112"/>
      <c r="M58" s="56"/>
      <c r="N58" s="56"/>
      <c r="O58" s="56"/>
      <c r="P58" s="56"/>
    </row>
    <row r="59" spans="1:16" hidden="1" x14ac:dyDescent="0.25">
      <c r="E59" s="159"/>
      <c r="F59" s="56"/>
      <c r="G59" s="56"/>
      <c r="H59" s="56"/>
      <c r="I59" s="56"/>
      <c r="K59" s="56"/>
      <c r="L59" s="112"/>
      <c r="M59" s="56"/>
      <c r="N59" s="56"/>
      <c r="O59" s="56"/>
      <c r="P59" s="56"/>
    </row>
    <row r="60" spans="1:16" hidden="1" x14ac:dyDescent="0.25">
      <c r="E60" s="159"/>
      <c r="F60" s="56"/>
      <c r="G60" s="56"/>
      <c r="H60" s="56"/>
      <c r="I60" s="56"/>
      <c r="K60" s="56"/>
      <c r="L60" s="112"/>
      <c r="M60" s="56"/>
      <c r="N60" s="56"/>
      <c r="O60" s="56"/>
      <c r="P60" s="56"/>
    </row>
    <row r="61" spans="1:16" hidden="1" x14ac:dyDescent="0.25">
      <c r="A61" s="206"/>
      <c r="B61" s="207"/>
      <c r="C61" s="207"/>
      <c r="D61" s="208"/>
      <c r="E61" s="161"/>
      <c r="F61" s="126"/>
      <c r="G61" s="167"/>
      <c r="H61" s="167"/>
      <c r="I61" s="167"/>
      <c r="K61" s="56"/>
      <c r="L61" s="112"/>
      <c r="M61" s="56"/>
      <c r="N61" s="56"/>
      <c r="O61" s="56"/>
      <c r="P61" s="56"/>
    </row>
    <row r="62" spans="1:16" hidden="1" x14ac:dyDescent="0.25">
      <c r="A62" s="214" t="s">
        <v>67</v>
      </c>
      <c r="B62" s="215"/>
      <c r="C62" s="215"/>
      <c r="D62" s="216"/>
      <c r="E62" s="142"/>
      <c r="F62" s="123"/>
      <c r="G62" s="49"/>
      <c r="H62" s="49"/>
      <c r="I62" s="49"/>
      <c r="K62" s="56"/>
      <c r="L62" s="112"/>
      <c r="M62" s="56"/>
      <c r="N62" s="56"/>
      <c r="O62" s="56"/>
      <c r="P62" s="56"/>
    </row>
    <row r="63" spans="1:16" ht="51" x14ac:dyDescent="0.25">
      <c r="A63" s="63"/>
      <c r="B63" s="51">
        <v>37</v>
      </c>
      <c r="C63" s="14"/>
      <c r="D63" s="27" t="s">
        <v>59</v>
      </c>
      <c r="E63" s="143">
        <f>185953.8/D38</f>
        <v>24680.310571371687</v>
      </c>
      <c r="F63" s="124">
        <v>40000</v>
      </c>
      <c r="G63" s="46">
        <v>40000</v>
      </c>
      <c r="H63" s="46">
        <v>40000</v>
      </c>
      <c r="I63" s="46">
        <v>40000</v>
      </c>
      <c r="K63" s="56"/>
      <c r="L63" s="112"/>
      <c r="M63" s="112"/>
      <c r="N63" s="112"/>
      <c r="O63" s="56"/>
      <c r="P63" s="56"/>
    </row>
    <row r="64" spans="1:16" x14ac:dyDescent="0.25">
      <c r="A64" s="63"/>
      <c r="B64" s="51">
        <v>38</v>
      </c>
      <c r="C64" s="14"/>
      <c r="D64" s="68" t="s">
        <v>151</v>
      </c>
      <c r="E64" s="142">
        <v>0</v>
      </c>
      <c r="F64" s="124">
        <v>130</v>
      </c>
      <c r="G64" s="49">
        <v>0</v>
      </c>
      <c r="H64" s="49">
        <v>0</v>
      </c>
      <c r="I64" s="49">
        <v>0</v>
      </c>
      <c r="K64" s="56"/>
      <c r="L64" s="112"/>
      <c r="M64" s="56"/>
      <c r="N64" s="56"/>
      <c r="O64" s="56"/>
      <c r="P64" s="56"/>
    </row>
    <row r="65" spans="1:16" ht="25.5" x14ac:dyDescent="0.25">
      <c r="A65" s="64">
        <v>4</v>
      </c>
      <c r="B65" s="64"/>
      <c r="C65" s="64"/>
      <c r="D65" s="65" t="s">
        <v>150</v>
      </c>
      <c r="E65" s="142">
        <f>80021.39/D38</f>
        <v>10620.663614042072</v>
      </c>
      <c r="F65" s="123">
        <v>22000</v>
      </c>
      <c r="G65" s="49">
        <v>3100</v>
      </c>
      <c r="H65" s="49">
        <v>3000</v>
      </c>
      <c r="I65" s="49">
        <v>3000</v>
      </c>
      <c r="K65" s="56"/>
      <c r="L65" s="112"/>
      <c r="M65" s="56"/>
      <c r="N65" s="56"/>
      <c r="O65" s="56"/>
      <c r="P65" s="56"/>
    </row>
    <row r="66" spans="1:16" ht="25.5" x14ac:dyDescent="0.25">
      <c r="A66" s="63"/>
      <c r="B66" s="64">
        <v>42</v>
      </c>
      <c r="C66" s="67"/>
      <c r="D66" s="65" t="s">
        <v>150</v>
      </c>
      <c r="E66" s="145">
        <v>10620.66</v>
      </c>
      <c r="F66" s="123">
        <v>22000</v>
      </c>
      <c r="G66" s="49">
        <v>3100</v>
      </c>
      <c r="H66" s="49">
        <v>3000</v>
      </c>
      <c r="I66" s="49">
        <v>3000</v>
      </c>
      <c r="K66" s="56"/>
      <c r="L66" s="112"/>
      <c r="M66" s="56"/>
      <c r="N66" s="56"/>
      <c r="O66" s="56"/>
      <c r="P66" s="56"/>
    </row>
    <row r="67" spans="1:16" x14ac:dyDescent="0.25">
      <c r="A67" s="217" t="s">
        <v>68</v>
      </c>
      <c r="B67" s="218"/>
      <c r="C67" s="218"/>
      <c r="D67" s="219"/>
      <c r="E67" s="146">
        <f>E65+E41</f>
        <v>2128570.6514221248</v>
      </c>
      <c r="F67" s="123">
        <f>F65+F41</f>
        <v>2306307</v>
      </c>
      <c r="G67" s="49">
        <f>SUM(G42,G43,G44,G63,G64,G66,)</f>
        <v>2383000</v>
      </c>
      <c r="H67" s="49">
        <f>H41+H65</f>
        <v>2443000</v>
      </c>
      <c r="I67" s="49">
        <f>I65+I41</f>
        <v>2436000</v>
      </c>
      <c r="J67" s="56"/>
      <c r="K67" s="56"/>
      <c r="L67" s="56"/>
      <c r="M67" s="56"/>
      <c r="N67" s="56"/>
      <c r="O67" s="56"/>
      <c r="P67" s="56"/>
    </row>
    <row r="68" spans="1:16" x14ac:dyDescent="0.25">
      <c r="A68" s="220" t="s">
        <v>70</v>
      </c>
      <c r="B68" s="221"/>
      <c r="C68" s="221"/>
      <c r="D68" s="222"/>
      <c r="E68">
        <v>0</v>
      </c>
      <c r="F68" s="123">
        <v>0</v>
      </c>
      <c r="G68" s="49"/>
      <c r="H68" s="49">
        <v>0</v>
      </c>
      <c r="I68" s="49">
        <v>0</v>
      </c>
      <c r="K68" s="56"/>
      <c r="L68" s="112"/>
      <c r="M68" s="56"/>
      <c r="N68" s="56"/>
      <c r="O68" s="56"/>
      <c r="P68" s="56"/>
    </row>
    <row r="69" spans="1:16" x14ac:dyDescent="0.25">
      <c r="A69" s="220" t="s">
        <v>71</v>
      </c>
      <c r="B69" s="221"/>
      <c r="C69" s="221"/>
      <c r="D69" s="222"/>
      <c r="E69" s="142">
        <f>E10-E67</f>
        <v>-23803.261422124691</v>
      </c>
      <c r="F69" s="123">
        <f>F19-F67</f>
        <v>-25635</v>
      </c>
      <c r="G69" s="49">
        <f>G19-G67</f>
        <v>-5000</v>
      </c>
      <c r="H69" s="49">
        <v>0</v>
      </c>
      <c r="I69" s="55">
        <v>0</v>
      </c>
      <c r="K69" s="56"/>
      <c r="L69" s="97"/>
      <c r="M69" s="99"/>
    </row>
    <row r="70" spans="1:16" ht="26.25" customHeight="1" x14ac:dyDescent="0.25">
      <c r="A70" s="220" t="s">
        <v>69</v>
      </c>
      <c r="B70" s="223"/>
      <c r="C70" s="223"/>
      <c r="D70" s="224"/>
      <c r="E70" s="142">
        <v>49438.7</v>
      </c>
      <c r="F70" s="123">
        <v>25635</v>
      </c>
      <c r="G70" s="49">
        <v>5000</v>
      </c>
      <c r="H70" s="49">
        <v>0</v>
      </c>
      <c r="I70" s="55">
        <v>0</v>
      </c>
      <c r="K70" s="56"/>
      <c r="L70" s="97"/>
      <c r="M70" s="99"/>
    </row>
    <row r="73" spans="1:16" x14ac:dyDescent="0.25">
      <c r="E73" s="56"/>
    </row>
  </sheetData>
  <mergeCells count="23">
    <mergeCell ref="A62:D62"/>
    <mergeCell ref="A67:D67"/>
    <mergeCell ref="A68:D68"/>
    <mergeCell ref="A69:D69"/>
    <mergeCell ref="A70:D70"/>
    <mergeCell ref="I54:I55"/>
    <mergeCell ref="A61:D61"/>
    <mergeCell ref="A19:D20"/>
    <mergeCell ref="E19:E20"/>
    <mergeCell ref="F19:F20"/>
    <mergeCell ref="A54:D55"/>
    <mergeCell ref="E54:E55"/>
    <mergeCell ref="F54:F55"/>
    <mergeCell ref="G54:G55"/>
    <mergeCell ref="H54:H55"/>
    <mergeCell ref="A1:J1"/>
    <mergeCell ref="A7:I7"/>
    <mergeCell ref="A37:I37"/>
    <mergeCell ref="A3:I3"/>
    <mergeCell ref="A5:I5"/>
    <mergeCell ref="G19:G20"/>
    <mergeCell ref="H19:H20"/>
    <mergeCell ref="I19:I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topLeftCell="A35" workbookViewId="0">
      <selection activeCell="D28" sqref="D28"/>
    </sheetView>
  </sheetViews>
  <sheetFormatPr defaultRowHeight="15" x14ac:dyDescent="0.25"/>
  <cols>
    <col min="1" max="1" width="35.140625" customWidth="1"/>
    <col min="2" max="2" width="15.140625" customWidth="1"/>
    <col min="3" max="3" width="25.5703125" customWidth="1"/>
    <col min="4" max="4" width="25.140625" customWidth="1"/>
    <col min="5" max="5" width="24.42578125" customWidth="1"/>
    <col min="6" max="6" width="20.85546875" customWidth="1"/>
    <col min="9" max="9" width="11.7109375" bestFit="1" customWidth="1"/>
  </cols>
  <sheetData>
    <row r="1" spans="1:10" ht="39.75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8" x14ac:dyDescent="0.25">
      <c r="A2" s="4"/>
      <c r="B2" s="4"/>
      <c r="C2" s="4"/>
      <c r="D2" s="4"/>
      <c r="E2" s="4"/>
      <c r="F2" s="4"/>
    </row>
    <row r="3" spans="1:10" ht="15.75" x14ac:dyDescent="0.25">
      <c r="A3" s="179" t="s">
        <v>22</v>
      </c>
      <c r="B3" s="179"/>
      <c r="C3" s="179"/>
      <c r="D3" s="179"/>
      <c r="E3" s="179"/>
      <c r="F3" s="179"/>
    </row>
    <row r="4" spans="1:10" ht="18" x14ac:dyDescent="0.25">
      <c r="B4" s="4"/>
      <c r="C4" s="4"/>
      <c r="D4" s="4"/>
      <c r="E4" s="5"/>
      <c r="F4" s="5"/>
    </row>
    <row r="5" spans="1:10" ht="15.75" x14ac:dyDescent="0.25">
      <c r="A5" s="179" t="s">
        <v>7</v>
      </c>
      <c r="B5" s="179"/>
      <c r="C5" s="179"/>
      <c r="D5" s="179"/>
      <c r="E5" s="179"/>
      <c r="F5" s="179"/>
    </row>
    <row r="6" spans="1:10" ht="15.75" x14ac:dyDescent="0.25">
      <c r="A6" s="179" t="s">
        <v>186</v>
      </c>
      <c r="B6" s="179"/>
      <c r="C6" s="179"/>
      <c r="D6" s="179"/>
      <c r="E6" s="179"/>
      <c r="F6" s="179"/>
    </row>
    <row r="7" spans="1:10" ht="15.75" x14ac:dyDescent="0.25">
      <c r="A7" s="128"/>
      <c r="B7" s="128"/>
      <c r="C7" s="128"/>
      <c r="D7" s="128"/>
      <c r="E7" s="128"/>
      <c r="F7" s="128"/>
    </row>
    <row r="8" spans="1:10" ht="15.75" x14ac:dyDescent="0.25">
      <c r="A8" s="156" t="s">
        <v>158</v>
      </c>
      <c r="B8" s="98">
        <v>7.5345000000000004</v>
      </c>
      <c r="C8" s="96"/>
      <c r="D8" s="7"/>
      <c r="E8" s="7"/>
      <c r="F8" s="100" t="s">
        <v>159</v>
      </c>
    </row>
    <row r="9" spans="1:10" ht="25.5" x14ac:dyDescent="0.25">
      <c r="A9" s="21" t="s">
        <v>187</v>
      </c>
      <c r="B9" s="20" t="s">
        <v>182</v>
      </c>
      <c r="C9" s="21" t="s">
        <v>169</v>
      </c>
      <c r="D9" s="21" t="s">
        <v>183</v>
      </c>
      <c r="E9" s="21" t="s">
        <v>33</v>
      </c>
      <c r="F9" s="21" t="s">
        <v>184</v>
      </c>
    </row>
    <row r="10" spans="1:10" x14ac:dyDescent="0.25">
      <c r="A10" s="117" t="s">
        <v>0</v>
      </c>
      <c r="B10" s="147">
        <v>2104767.39</v>
      </c>
      <c r="C10" s="131">
        <v>2280672</v>
      </c>
      <c r="D10" s="131">
        <v>2378000</v>
      </c>
      <c r="E10" s="131">
        <f>SUM(E11,E13,E15,E17,E19,E21,E23,)</f>
        <v>2443000</v>
      </c>
      <c r="F10" s="131">
        <f>SUM(F11,F13,F15,F17,F19,F21,F23,)</f>
        <v>2436000</v>
      </c>
      <c r="I10" s="56"/>
    </row>
    <row r="11" spans="1:10" ht="17.25" customHeight="1" x14ac:dyDescent="0.25">
      <c r="A11" s="23" t="s">
        <v>188</v>
      </c>
      <c r="B11" s="148">
        <f>11289123.42/B8</f>
        <v>1498324.1648417281</v>
      </c>
      <c r="C11" s="131">
        <v>1646735</v>
      </c>
      <c r="D11" s="131">
        <v>1742500</v>
      </c>
      <c r="E11" s="131">
        <v>1806700</v>
      </c>
      <c r="F11" s="131">
        <v>1799700</v>
      </c>
      <c r="I11" s="99"/>
    </row>
    <row r="12" spans="1:10" x14ac:dyDescent="0.25">
      <c r="A12" s="14" t="s">
        <v>189</v>
      </c>
      <c r="B12" s="149">
        <v>1498324.16</v>
      </c>
      <c r="C12" s="132">
        <v>1646735</v>
      </c>
      <c r="D12" s="132">
        <v>1742500</v>
      </c>
      <c r="E12" s="132">
        <f>1787900+18800</f>
        <v>1806700</v>
      </c>
      <c r="F12" s="132">
        <f>1783700+16000</f>
        <v>1799700</v>
      </c>
      <c r="I12" s="99"/>
    </row>
    <row r="13" spans="1:10" x14ac:dyDescent="0.25">
      <c r="A13" s="51" t="s">
        <v>193</v>
      </c>
      <c r="B13" s="150">
        <f>15900/B8</f>
        <v>2110.2926537925541</v>
      </c>
      <c r="C13" s="121">
        <v>3100</v>
      </c>
      <c r="D13" s="121">
        <v>3200</v>
      </c>
      <c r="E13" s="121">
        <v>3200</v>
      </c>
      <c r="F13" s="121">
        <v>3200</v>
      </c>
    </row>
    <row r="14" spans="1:10" x14ac:dyDescent="0.25">
      <c r="A14" s="14" t="s">
        <v>202</v>
      </c>
      <c r="B14" s="149">
        <v>2110.29</v>
      </c>
      <c r="C14" s="132">
        <v>3100</v>
      </c>
      <c r="D14" s="132">
        <v>3200</v>
      </c>
      <c r="E14" s="132">
        <v>3200</v>
      </c>
      <c r="F14" s="132">
        <v>3200</v>
      </c>
    </row>
    <row r="15" spans="1:10" ht="18" customHeight="1" x14ac:dyDescent="0.25">
      <c r="A15" s="12" t="s">
        <v>190</v>
      </c>
      <c r="B15" s="151">
        <f>4401447.51/B8</f>
        <v>584172.47461676283</v>
      </c>
      <c r="C15" s="121">
        <v>612664</v>
      </c>
      <c r="D15" s="121">
        <v>615200</v>
      </c>
      <c r="E15" s="121">
        <v>616000</v>
      </c>
      <c r="F15" s="121">
        <v>616000</v>
      </c>
    </row>
    <row r="16" spans="1:10" ht="27" customHeight="1" x14ac:dyDescent="0.25">
      <c r="A16" s="18" t="s">
        <v>213</v>
      </c>
      <c r="B16" s="152">
        <v>584172.47</v>
      </c>
      <c r="C16" s="132">
        <v>612644</v>
      </c>
      <c r="D16" s="132">
        <v>615200</v>
      </c>
      <c r="E16" s="132">
        <v>616000</v>
      </c>
      <c r="F16" s="132">
        <v>616000</v>
      </c>
      <c r="H16" s="56"/>
      <c r="I16" s="56"/>
    </row>
    <row r="17" spans="1:6" x14ac:dyDescent="0.25">
      <c r="A17" s="117" t="s">
        <v>191</v>
      </c>
      <c r="B17" s="151">
        <f>121900/B8</f>
        <v>16178.910345742916</v>
      </c>
      <c r="C17" s="121">
        <v>17043</v>
      </c>
      <c r="D17" s="121">
        <v>17000</v>
      </c>
      <c r="E17" s="121">
        <v>17000</v>
      </c>
      <c r="F17" s="120">
        <v>17000</v>
      </c>
    </row>
    <row r="18" spans="1:6" x14ac:dyDescent="0.25">
      <c r="A18" s="14" t="s">
        <v>217</v>
      </c>
      <c r="B18" s="152">
        <v>16178.91</v>
      </c>
      <c r="C18" s="132">
        <v>17043</v>
      </c>
      <c r="D18" s="132">
        <v>17000</v>
      </c>
      <c r="E18" s="132">
        <v>17000</v>
      </c>
      <c r="F18" s="133">
        <v>17000</v>
      </c>
    </row>
    <row r="19" spans="1:6" x14ac:dyDescent="0.25">
      <c r="A19" s="127" t="s">
        <v>203</v>
      </c>
      <c r="B19" s="150">
        <v>0</v>
      </c>
      <c r="C19" s="121">
        <v>1130</v>
      </c>
      <c r="D19" s="121">
        <v>100</v>
      </c>
      <c r="E19" s="121">
        <v>100</v>
      </c>
      <c r="F19" s="120">
        <v>100</v>
      </c>
    </row>
    <row r="20" spans="1:6" x14ac:dyDescent="0.25">
      <c r="A20" s="14" t="s">
        <v>215</v>
      </c>
      <c r="B20" s="152">
        <v>0</v>
      </c>
      <c r="C20" s="132">
        <v>1130</v>
      </c>
      <c r="D20" s="132">
        <v>100</v>
      </c>
      <c r="E20" s="132">
        <v>100</v>
      </c>
      <c r="F20" s="133">
        <v>100</v>
      </c>
    </row>
    <row r="21" spans="1:6" x14ac:dyDescent="0.25">
      <c r="A21" s="127" t="s">
        <v>204</v>
      </c>
      <c r="B21" s="150">
        <f>29999/B8</f>
        <v>3981.5515296303665</v>
      </c>
      <c r="C21" s="136">
        <v>0</v>
      </c>
      <c r="D21" s="121">
        <v>0</v>
      </c>
      <c r="E21" s="121">
        <v>0</v>
      </c>
      <c r="F21" s="120">
        <v>0</v>
      </c>
    </row>
    <row r="22" spans="1:6" x14ac:dyDescent="0.25">
      <c r="A22" s="14" t="s">
        <v>216</v>
      </c>
      <c r="B22" s="152">
        <v>3981.55</v>
      </c>
      <c r="C22" s="132">
        <v>0</v>
      </c>
      <c r="D22" s="132">
        <v>0</v>
      </c>
      <c r="E22" s="132">
        <v>0</v>
      </c>
      <c r="F22" s="133">
        <v>0</v>
      </c>
    </row>
    <row r="23" spans="1:6" x14ac:dyDescent="0.25">
      <c r="A23" s="15" t="s">
        <v>211</v>
      </c>
      <c r="B23" s="153">
        <f>193150.28/B8</f>
        <v>25635.447607671376</v>
      </c>
      <c r="C23" s="135">
        <v>25635</v>
      </c>
      <c r="D23" s="135">
        <v>5000</v>
      </c>
      <c r="E23" s="135">
        <v>0</v>
      </c>
      <c r="F23" s="135">
        <v>0</v>
      </c>
    </row>
    <row r="24" spans="1:6" x14ac:dyDescent="0.25">
      <c r="A24" s="57" t="s">
        <v>205</v>
      </c>
      <c r="B24" s="154">
        <v>25635.45</v>
      </c>
      <c r="C24" s="134">
        <v>25635</v>
      </c>
      <c r="D24" s="134">
        <v>5000</v>
      </c>
      <c r="E24" s="134">
        <v>0</v>
      </c>
      <c r="F24" s="134">
        <v>0</v>
      </c>
    </row>
    <row r="25" spans="1:6" x14ac:dyDescent="0.25">
      <c r="B25" s="162"/>
      <c r="C25" s="163"/>
      <c r="D25" s="163"/>
      <c r="E25" s="163"/>
      <c r="F25" s="163"/>
    </row>
    <row r="26" spans="1:6" x14ac:dyDescent="0.25">
      <c r="B26" s="162"/>
      <c r="C26" s="163"/>
      <c r="D26" s="163"/>
      <c r="E26" s="163"/>
      <c r="F26" s="163"/>
    </row>
    <row r="27" spans="1:6" x14ac:dyDescent="0.25">
      <c r="B27" s="162"/>
      <c r="C27" s="163"/>
      <c r="D27" s="163"/>
      <c r="E27" s="163"/>
      <c r="F27" s="163"/>
    </row>
    <row r="28" spans="1:6" x14ac:dyDescent="0.25">
      <c r="B28" s="162"/>
      <c r="C28" s="163"/>
      <c r="D28" s="163"/>
      <c r="E28" s="163"/>
      <c r="F28" s="163"/>
    </row>
    <row r="29" spans="1:6" x14ac:dyDescent="0.25">
      <c r="B29" s="162"/>
      <c r="C29" s="163"/>
      <c r="D29" s="163"/>
      <c r="E29" s="163"/>
      <c r="F29" s="163"/>
    </row>
    <row r="30" spans="1:6" x14ac:dyDescent="0.25">
      <c r="B30" s="162"/>
      <c r="C30" s="163"/>
      <c r="D30" s="163"/>
      <c r="E30" s="163"/>
      <c r="F30" s="163"/>
    </row>
    <row r="31" spans="1:6" x14ac:dyDescent="0.25">
      <c r="B31" s="162"/>
      <c r="C31" s="163"/>
      <c r="D31" s="163"/>
      <c r="E31" s="163"/>
      <c r="F31" s="163"/>
    </row>
    <row r="32" spans="1:6" x14ac:dyDescent="0.25">
      <c r="B32" s="162"/>
      <c r="C32" s="163"/>
      <c r="D32" s="163"/>
      <c r="E32" s="163"/>
      <c r="F32" s="163"/>
    </row>
    <row r="33" spans="1:9" x14ac:dyDescent="0.25">
      <c r="B33" s="162"/>
      <c r="C33" s="163"/>
      <c r="D33" s="163"/>
      <c r="E33" s="163"/>
      <c r="F33" s="163"/>
    </row>
    <row r="34" spans="1:9" x14ac:dyDescent="0.25">
      <c r="B34" s="162"/>
      <c r="C34" s="163"/>
      <c r="D34" s="163"/>
      <c r="E34" s="163"/>
      <c r="F34" s="163"/>
    </row>
    <row r="35" spans="1:9" x14ac:dyDescent="0.25">
      <c r="B35" s="162"/>
      <c r="C35" s="163"/>
      <c r="D35" s="163"/>
      <c r="E35" s="163"/>
      <c r="F35" s="163"/>
    </row>
    <row r="36" spans="1:9" x14ac:dyDescent="0.25">
      <c r="B36" s="162"/>
      <c r="C36" s="163"/>
      <c r="D36" s="163"/>
      <c r="E36" s="163"/>
      <c r="F36" s="163"/>
    </row>
    <row r="38" spans="1:9" ht="15.75" x14ac:dyDescent="0.25">
      <c r="A38" s="179" t="s">
        <v>192</v>
      </c>
      <c r="B38" s="179"/>
      <c r="C38" s="179"/>
      <c r="D38" s="179"/>
      <c r="E38" s="179"/>
      <c r="F38" s="179"/>
    </row>
    <row r="39" spans="1:9" ht="18" x14ac:dyDescent="0.25">
      <c r="A39" s="4"/>
      <c r="B39" s="4"/>
      <c r="C39" s="4"/>
      <c r="D39" s="4"/>
      <c r="E39" s="5"/>
      <c r="F39" s="5"/>
    </row>
    <row r="40" spans="1:9" ht="25.5" x14ac:dyDescent="0.25">
      <c r="A40" s="21" t="s">
        <v>187</v>
      </c>
      <c r="B40" s="20" t="s">
        <v>182</v>
      </c>
      <c r="C40" s="21" t="s">
        <v>169</v>
      </c>
      <c r="D40" s="21" t="s">
        <v>183</v>
      </c>
      <c r="E40" s="21" t="s">
        <v>33</v>
      </c>
      <c r="F40" s="21" t="s">
        <v>184</v>
      </c>
    </row>
    <row r="41" spans="1:9" ht="19.5" customHeight="1" x14ac:dyDescent="0.25">
      <c r="A41" s="117" t="s">
        <v>1</v>
      </c>
      <c r="B41" s="147">
        <v>2128570.65</v>
      </c>
      <c r="C41" s="148">
        <v>2306307</v>
      </c>
      <c r="D41" s="131">
        <v>2383000</v>
      </c>
      <c r="E41" s="131">
        <v>2443000</v>
      </c>
      <c r="F41" s="131">
        <v>2436000</v>
      </c>
      <c r="H41" s="56"/>
    </row>
    <row r="42" spans="1:9" ht="15.75" customHeight="1" x14ac:dyDescent="0.25">
      <c r="A42" s="23" t="s">
        <v>188</v>
      </c>
      <c r="B42" s="148">
        <v>1498324.16</v>
      </c>
      <c r="C42" s="131">
        <v>1646735</v>
      </c>
      <c r="D42" s="131">
        <v>1742500</v>
      </c>
      <c r="E42" s="131">
        <v>1806700</v>
      </c>
      <c r="F42" s="131">
        <v>1799700</v>
      </c>
    </row>
    <row r="43" spans="1:9" ht="15" customHeight="1" x14ac:dyDescent="0.25">
      <c r="A43" s="14" t="s">
        <v>189</v>
      </c>
      <c r="B43" s="149">
        <v>1498324.16</v>
      </c>
      <c r="C43" s="132">
        <v>1646735</v>
      </c>
      <c r="D43" s="132">
        <v>1742500</v>
      </c>
      <c r="E43" s="132">
        <f>1787900+18800</f>
        <v>1806700</v>
      </c>
      <c r="F43" s="132">
        <f>1783700+16000</f>
        <v>1799700</v>
      </c>
      <c r="I43" s="56"/>
    </row>
    <row r="44" spans="1:9" ht="12" customHeight="1" x14ac:dyDescent="0.25">
      <c r="A44" s="51" t="s">
        <v>193</v>
      </c>
      <c r="B44" s="150">
        <v>2110.29</v>
      </c>
      <c r="C44" s="121">
        <v>3100</v>
      </c>
      <c r="D44" s="121">
        <v>3200</v>
      </c>
      <c r="E44" s="121">
        <v>3200</v>
      </c>
      <c r="F44" s="121">
        <v>3200</v>
      </c>
    </row>
    <row r="45" spans="1:9" ht="18.75" customHeight="1" x14ac:dyDescent="0.25">
      <c r="A45" s="14" t="s">
        <v>202</v>
      </c>
      <c r="B45" s="149">
        <v>2110.29</v>
      </c>
      <c r="C45" s="132">
        <v>3100</v>
      </c>
      <c r="D45" s="132">
        <v>3200</v>
      </c>
      <c r="E45" s="132">
        <v>3200</v>
      </c>
      <c r="F45" s="132">
        <v>3200</v>
      </c>
    </row>
    <row r="46" spans="1:9" ht="13.5" customHeight="1" x14ac:dyDescent="0.25">
      <c r="A46" s="12" t="s">
        <v>190</v>
      </c>
      <c r="B46" s="151">
        <v>584172.47</v>
      </c>
      <c r="C46" s="121">
        <v>612664</v>
      </c>
      <c r="D46" s="121">
        <v>615200</v>
      </c>
      <c r="E46" s="121">
        <v>616000</v>
      </c>
      <c r="F46" s="121">
        <v>616000</v>
      </c>
    </row>
    <row r="47" spans="1:9" x14ac:dyDescent="0.25">
      <c r="A47" s="18" t="s">
        <v>213</v>
      </c>
      <c r="B47" s="152">
        <v>584172.47</v>
      </c>
      <c r="C47" s="132">
        <v>612644</v>
      </c>
      <c r="D47" s="132">
        <v>615200</v>
      </c>
      <c r="E47" s="132">
        <v>616000</v>
      </c>
      <c r="F47" s="132">
        <v>616000</v>
      </c>
    </row>
    <row r="48" spans="1:9" x14ac:dyDescent="0.25">
      <c r="A48" s="117" t="s">
        <v>191</v>
      </c>
      <c r="B48" s="151">
        <v>16178.91</v>
      </c>
      <c r="C48" s="121">
        <v>17043</v>
      </c>
      <c r="D48" s="121">
        <v>17000</v>
      </c>
      <c r="E48" s="121">
        <v>17000</v>
      </c>
      <c r="F48" s="120">
        <v>17000</v>
      </c>
    </row>
    <row r="49" spans="1:6" x14ac:dyDescent="0.25">
      <c r="A49" s="14" t="s">
        <v>214</v>
      </c>
      <c r="B49" s="152">
        <v>16178.91</v>
      </c>
      <c r="C49" s="132">
        <v>17043</v>
      </c>
      <c r="D49" s="132">
        <v>17000</v>
      </c>
      <c r="E49" s="132">
        <v>17000</v>
      </c>
      <c r="F49" s="133">
        <v>17000</v>
      </c>
    </row>
    <row r="50" spans="1:6" x14ac:dyDescent="0.25">
      <c r="A50" s="127" t="s">
        <v>203</v>
      </c>
      <c r="B50" s="150">
        <v>0</v>
      </c>
      <c r="C50" s="121">
        <v>1130</v>
      </c>
      <c r="D50" s="121">
        <v>100</v>
      </c>
      <c r="E50" s="121">
        <v>100</v>
      </c>
      <c r="F50" s="120">
        <v>100</v>
      </c>
    </row>
    <row r="51" spans="1:6" x14ac:dyDescent="0.25">
      <c r="A51" s="14" t="s">
        <v>215</v>
      </c>
      <c r="B51" s="152">
        <v>0</v>
      </c>
      <c r="C51" s="132">
        <v>1130</v>
      </c>
      <c r="D51" s="132">
        <v>100</v>
      </c>
      <c r="E51" s="132">
        <v>100</v>
      </c>
      <c r="F51" s="133">
        <v>100</v>
      </c>
    </row>
    <row r="52" spans="1:6" x14ac:dyDescent="0.25">
      <c r="A52" s="127" t="s">
        <v>204</v>
      </c>
      <c r="B52" s="150">
        <v>3981.55</v>
      </c>
      <c r="C52" s="136">
        <v>0</v>
      </c>
      <c r="D52" s="121">
        <v>0</v>
      </c>
      <c r="E52" s="121">
        <v>0</v>
      </c>
      <c r="F52" s="120">
        <v>0</v>
      </c>
    </row>
    <row r="53" spans="1:6" x14ac:dyDescent="0.25">
      <c r="A53" s="14" t="s">
        <v>216</v>
      </c>
      <c r="B53" s="152">
        <v>3981.55</v>
      </c>
      <c r="C53" s="132">
        <v>0</v>
      </c>
      <c r="D53" s="132">
        <v>0</v>
      </c>
      <c r="E53" s="132">
        <v>0</v>
      </c>
      <c r="F53" s="133">
        <v>0</v>
      </c>
    </row>
    <row r="54" spans="1:6" x14ac:dyDescent="0.25">
      <c r="A54" s="15" t="s">
        <v>211</v>
      </c>
      <c r="B54" s="153">
        <v>25635.45</v>
      </c>
      <c r="C54" s="135">
        <v>25635</v>
      </c>
      <c r="D54" s="135">
        <v>5000</v>
      </c>
      <c r="E54" s="135">
        <v>0</v>
      </c>
      <c r="F54" s="135">
        <v>0</v>
      </c>
    </row>
    <row r="55" spans="1:6" x14ac:dyDescent="0.25">
      <c r="A55" s="57" t="s">
        <v>205</v>
      </c>
      <c r="B55" s="154">
        <v>25635.45</v>
      </c>
      <c r="C55" s="134">
        <v>25635</v>
      </c>
      <c r="D55" s="134">
        <v>5000</v>
      </c>
      <c r="E55" s="134">
        <v>0</v>
      </c>
      <c r="F55" s="134">
        <v>0</v>
      </c>
    </row>
    <row r="57" spans="1:6" x14ac:dyDescent="0.25">
      <c r="E57" s="56"/>
      <c r="F57" s="56"/>
    </row>
    <row r="58" spans="1:6" x14ac:dyDescent="0.25">
      <c r="F58" s="56"/>
    </row>
  </sheetData>
  <mergeCells count="5">
    <mergeCell ref="A3:F3"/>
    <mergeCell ref="A5:F5"/>
    <mergeCell ref="A6:F6"/>
    <mergeCell ref="A38:F38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79" t="s">
        <v>22</v>
      </c>
      <c r="B3" s="179"/>
      <c r="C3" s="179"/>
      <c r="D3" s="179"/>
      <c r="E3" s="180"/>
      <c r="F3" s="180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79" t="s">
        <v>7</v>
      </c>
      <c r="B5" s="190"/>
      <c r="C5" s="190"/>
      <c r="D5" s="190"/>
      <c r="E5" s="190"/>
      <c r="F5" s="190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79" t="s">
        <v>17</v>
      </c>
      <c r="B7" s="201"/>
      <c r="C7" s="201"/>
      <c r="D7" s="201"/>
      <c r="E7" s="201"/>
      <c r="F7" s="201"/>
    </row>
    <row r="8" spans="1:11" ht="15.75" x14ac:dyDescent="0.25">
      <c r="A8" s="128"/>
      <c r="B8" s="130"/>
      <c r="C8" s="130"/>
      <c r="D8" s="130"/>
      <c r="E8" s="130"/>
      <c r="F8" s="130"/>
    </row>
    <row r="9" spans="1:11" ht="15.75" x14ac:dyDescent="0.25">
      <c r="A9" s="156" t="s">
        <v>158</v>
      </c>
      <c r="B9" s="98">
        <v>7.5345000000000004</v>
      </c>
      <c r="C9" s="96"/>
      <c r="D9" s="7"/>
      <c r="E9" s="7"/>
      <c r="F9" s="100" t="s">
        <v>159</v>
      </c>
    </row>
    <row r="10" spans="1:11" ht="25.5" x14ac:dyDescent="0.25">
      <c r="A10" s="21" t="s">
        <v>187</v>
      </c>
      <c r="B10" s="20" t="s">
        <v>182</v>
      </c>
      <c r="C10" s="21" t="s">
        <v>169</v>
      </c>
      <c r="D10" s="21" t="s">
        <v>183</v>
      </c>
      <c r="E10" s="21" t="s">
        <v>33</v>
      </c>
      <c r="F10" s="21" t="s">
        <v>184</v>
      </c>
    </row>
    <row r="11" spans="1:11" ht="15.75" customHeight="1" x14ac:dyDescent="0.25">
      <c r="A11" s="12" t="s">
        <v>18</v>
      </c>
      <c r="B11" s="144">
        <v>2128570.65</v>
      </c>
      <c r="C11" s="10">
        <v>2306307</v>
      </c>
      <c r="D11" s="10">
        <v>2383000</v>
      </c>
      <c r="E11" s="10">
        <v>2443000</v>
      </c>
      <c r="F11" s="10">
        <v>2436000</v>
      </c>
    </row>
    <row r="12" spans="1:11" ht="15.75" customHeight="1" x14ac:dyDescent="0.25">
      <c r="A12" s="12" t="s">
        <v>48</v>
      </c>
      <c r="B12" s="144">
        <v>2128570.65</v>
      </c>
      <c r="C12" s="9">
        <v>2306307</v>
      </c>
      <c r="D12" s="9">
        <v>2383000</v>
      </c>
      <c r="E12" s="9">
        <v>2443000</v>
      </c>
      <c r="F12" s="9">
        <v>2436000</v>
      </c>
    </row>
    <row r="13" spans="1:11" x14ac:dyDescent="0.25">
      <c r="A13" s="18" t="s">
        <v>49</v>
      </c>
      <c r="B13" s="144">
        <f>B12-B15</f>
        <v>2027634.9542006769</v>
      </c>
      <c r="C13" s="10">
        <v>2196043</v>
      </c>
      <c r="D13" s="10">
        <f>D12-D15</f>
        <v>2270000</v>
      </c>
      <c r="E13" s="10">
        <v>2328000</v>
      </c>
      <c r="F13" s="10">
        <v>2319000</v>
      </c>
    </row>
    <row r="14" spans="1:11" x14ac:dyDescent="0.25">
      <c r="A14" s="17" t="s">
        <v>51</v>
      </c>
      <c r="B14" s="144">
        <v>2027634.95</v>
      </c>
      <c r="C14" s="10">
        <v>2196043</v>
      </c>
      <c r="D14" s="10">
        <v>2270000</v>
      </c>
      <c r="E14" s="10">
        <f>E11-E15</f>
        <v>2328000</v>
      </c>
      <c r="F14" s="10">
        <f>F11-F15</f>
        <v>2319000</v>
      </c>
    </row>
    <row r="15" spans="1:11" x14ac:dyDescent="0.25">
      <c r="A15" s="19" t="s">
        <v>50</v>
      </c>
      <c r="B15" s="144">
        <f>760500/B9</f>
        <v>100935.6957993231</v>
      </c>
      <c r="C15" s="10">
        <v>110264</v>
      </c>
      <c r="D15" s="10">
        <v>113000</v>
      </c>
      <c r="E15" s="10">
        <v>115000</v>
      </c>
      <c r="F15" s="11">
        <v>117000</v>
      </c>
      <c r="H15" s="56"/>
      <c r="I15" s="56"/>
      <c r="J15" s="56"/>
      <c r="K15" s="56"/>
    </row>
    <row r="20" spans="5:6" x14ac:dyDescent="0.25">
      <c r="E20" s="56"/>
      <c r="F20" s="56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79" t="s">
        <v>22</v>
      </c>
      <c r="B3" s="179"/>
      <c r="C3" s="179"/>
      <c r="D3" s="179"/>
      <c r="E3" s="179"/>
      <c r="F3" s="179"/>
      <c r="G3" s="180"/>
      <c r="H3" s="18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79" t="s">
        <v>194</v>
      </c>
      <c r="B5" s="190"/>
      <c r="C5" s="190"/>
      <c r="D5" s="190"/>
      <c r="E5" s="190"/>
      <c r="F5" s="190"/>
      <c r="G5" s="190"/>
      <c r="H5" s="190"/>
    </row>
    <row r="6" spans="1:10" ht="18" customHeight="1" x14ac:dyDescent="0.25">
      <c r="A6" s="128"/>
      <c r="B6" s="129"/>
      <c r="C6" s="129"/>
      <c r="D6" s="129"/>
      <c r="E6" s="129"/>
      <c r="F6" s="129"/>
      <c r="G6" s="129"/>
      <c r="H6" s="129"/>
    </row>
    <row r="7" spans="1:10" ht="15.75" customHeight="1" x14ac:dyDescent="0.25">
      <c r="A7" s="225" t="s">
        <v>209</v>
      </c>
      <c r="B7" s="225"/>
      <c r="C7" s="225"/>
      <c r="D7" s="157">
        <v>7.5345000000000004</v>
      </c>
      <c r="E7" s="7"/>
      <c r="G7" s="5"/>
      <c r="H7" s="100" t="s">
        <v>159</v>
      </c>
    </row>
    <row r="8" spans="1:10" ht="25.5" x14ac:dyDescent="0.25">
      <c r="A8" s="21" t="s">
        <v>8</v>
      </c>
      <c r="B8" s="20" t="s">
        <v>9</v>
      </c>
      <c r="C8" s="20" t="s">
        <v>39</v>
      </c>
      <c r="D8" s="20" t="s">
        <v>182</v>
      </c>
      <c r="E8" s="21" t="s">
        <v>169</v>
      </c>
      <c r="F8" s="21" t="s">
        <v>183</v>
      </c>
      <c r="G8" s="21" t="s">
        <v>33</v>
      </c>
      <c r="H8" s="21" t="s">
        <v>184</v>
      </c>
    </row>
    <row r="9" spans="1:10" s="118" customFormat="1" x14ac:dyDescent="0.25">
      <c r="A9" s="3"/>
      <c r="B9" s="66"/>
      <c r="C9" s="27" t="s">
        <v>195</v>
      </c>
      <c r="D9" s="66"/>
      <c r="E9" s="3"/>
      <c r="F9" s="3"/>
      <c r="G9" s="3"/>
      <c r="H9" s="3"/>
    </row>
    <row r="10" spans="1:10" ht="25.5" x14ac:dyDescent="0.25">
      <c r="A10" s="12">
        <v>8</v>
      </c>
      <c r="B10" s="12"/>
      <c r="C10" s="12" t="s">
        <v>19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</row>
    <row r="11" spans="1:10" x14ac:dyDescent="0.25">
      <c r="A11" s="12"/>
      <c r="B11" s="16">
        <v>84</v>
      </c>
      <c r="C11" s="16" t="s">
        <v>26</v>
      </c>
      <c r="D11" s="9"/>
      <c r="E11" s="10"/>
      <c r="F11" s="10"/>
      <c r="G11" s="10"/>
      <c r="H11" s="10"/>
    </row>
    <row r="12" spans="1:10" x14ac:dyDescent="0.25">
      <c r="A12" s="13"/>
      <c r="B12" s="13"/>
      <c r="C12" s="18"/>
      <c r="D12" s="9"/>
      <c r="E12" s="10"/>
      <c r="F12" s="10"/>
      <c r="G12" s="10"/>
      <c r="H12" s="10"/>
    </row>
    <row r="13" spans="1:10" x14ac:dyDescent="0.25">
      <c r="A13" s="13"/>
      <c r="B13" s="13"/>
      <c r="C13" s="27" t="s">
        <v>196</v>
      </c>
      <c r="D13" s="9"/>
      <c r="E13" s="10"/>
      <c r="F13" s="10"/>
      <c r="G13" s="10"/>
      <c r="H13" s="10"/>
    </row>
    <row r="14" spans="1:10" ht="25.5" x14ac:dyDescent="0.25">
      <c r="A14" s="15">
        <v>5</v>
      </c>
      <c r="B14" s="15"/>
      <c r="C14" s="23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</row>
    <row r="15" spans="1:10" ht="25.5" x14ac:dyDescent="0.25">
      <c r="A15" s="16"/>
      <c r="B15" s="16">
        <v>54</v>
      </c>
      <c r="C15" s="24" t="s">
        <v>27</v>
      </c>
      <c r="D15" s="9"/>
      <c r="E15" s="10"/>
      <c r="F15" s="10"/>
      <c r="G15" s="10"/>
      <c r="H15" s="11"/>
    </row>
    <row r="16" spans="1:10" x14ac:dyDescent="0.25">
      <c r="A16" s="16"/>
      <c r="B16" s="16"/>
      <c r="C16" s="14"/>
      <c r="D16" s="9"/>
      <c r="E16" s="10"/>
      <c r="F16" s="10"/>
      <c r="G16" s="10"/>
      <c r="H16" s="11"/>
    </row>
    <row r="17" spans="1:8" x14ac:dyDescent="0.25">
      <c r="A17" s="16"/>
      <c r="B17" s="16"/>
      <c r="C17" s="14"/>
      <c r="D17" s="9"/>
      <c r="E17" s="10"/>
      <c r="F17" s="10"/>
      <c r="G17" s="10"/>
      <c r="H17" s="11"/>
    </row>
  </sheetData>
  <mergeCells count="4">
    <mergeCell ref="A3:H3"/>
    <mergeCell ref="A5:H5"/>
    <mergeCell ref="A7:C7"/>
    <mergeCell ref="A1:J1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79" t="s">
        <v>22</v>
      </c>
      <c r="B3" s="179"/>
      <c r="C3" s="179"/>
      <c r="D3" s="179"/>
      <c r="E3" s="179"/>
      <c r="F3" s="179"/>
      <c r="G3" s="180"/>
      <c r="H3" s="18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79" t="s">
        <v>200</v>
      </c>
      <c r="B5" s="190"/>
      <c r="C5" s="190"/>
      <c r="D5" s="190"/>
      <c r="E5" s="190"/>
      <c r="F5" s="190"/>
      <c r="G5" s="190"/>
      <c r="H5" s="190"/>
    </row>
    <row r="6" spans="1:10" ht="18" customHeight="1" x14ac:dyDescent="0.25">
      <c r="A6" s="128"/>
      <c r="B6" s="129"/>
      <c r="C6" s="129"/>
      <c r="D6" s="129"/>
      <c r="E6" s="129"/>
      <c r="F6" s="129"/>
      <c r="G6" s="129"/>
      <c r="H6" s="129"/>
    </row>
    <row r="7" spans="1:10" ht="15.75" x14ac:dyDescent="0.25">
      <c r="A7" s="226" t="s">
        <v>208</v>
      </c>
      <c r="B7" s="226"/>
      <c r="C7" s="226"/>
      <c r="E7" s="5"/>
      <c r="F7" s="100" t="s">
        <v>159</v>
      </c>
    </row>
    <row r="8" spans="1:10" ht="25.5" x14ac:dyDescent="0.25">
      <c r="A8" s="21" t="s">
        <v>187</v>
      </c>
      <c r="B8" s="20" t="s">
        <v>182</v>
      </c>
      <c r="C8" s="21" t="s">
        <v>169</v>
      </c>
      <c r="D8" s="21" t="s">
        <v>183</v>
      </c>
      <c r="E8" s="21" t="s">
        <v>33</v>
      </c>
      <c r="F8" s="21" t="s">
        <v>184</v>
      </c>
    </row>
    <row r="9" spans="1:10" s="118" customFormat="1" x14ac:dyDescent="0.25">
      <c r="A9" s="119" t="s">
        <v>195</v>
      </c>
      <c r="B9" s="66"/>
      <c r="C9" s="3"/>
      <c r="D9" s="3"/>
      <c r="E9" s="3"/>
      <c r="F9" s="3"/>
    </row>
    <row r="10" spans="1:10" ht="25.5" x14ac:dyDescent="0.25">
      <c r="A10" s="12" t="s">
        <v>197</v>
      </c>
      <c r="B10" s="9">
        <v>0</v>
      </c>
      <c r="C10" s="10">
        <v>0</v>
      </c>
      <c r="D10" s="10">
        <v>0</v>
      </c>
      <c r="E10" s="10">
        <v>0</v>
      </c>
      <c r="F10" s="10">
        <v>0</v>
      </c>
    </row>
    <row r="11" spans="1:10" ht="25.5" x14ac:dyDescent="0.25">
      <c r="A11" s="18" t="s">
        <v>198</v>
      </c>
      <c r="B11" s="9"/>
      <c r="C11" s="10"/>
      <c r="D11" s="10"/>
      <c r="E11" s="10"/>
      <c r="F11" s="10"/>
    </row>
    <row r="12" spans="1:10" x14ac:dyDescent="0.25">
      <c r="A12" s="18"/>
      <c r="B12" s="9"/>
      <c r="C12" s="10"/>
      <c r="D12" s="10"/>
      <c r="E12" s="10"/>
      <c r="F12" s="10"/>
    </row>
    <row r="13" spans="1:10" x14ac:dyDescent="0.25">
      <c r="A13" s="52" t="s">
        <v>196</v>
      </c>
      <c r="B13" s="9"/>
      <c r="C13" s="10"/>
      <c r="D13" s="10"/>
      <c r="E13" s="10"/>
      <c r="F13" s="10"/>
    </row>
    <row r="14" spans="1:10" x14ac:dyDescent="0.25">
      <c r="A14" s="23" t="s">
        <v>188</v>
      </c>
      <c r="B14" s="9">
        <v>0</v>
      </c>
      <c r="C14" s="10">
        <v>0</v>
      </c>
      <c r="D14" s="10">
        <v>0</v>
      </c>
      <c r="E14" s="10">
        <v>0</v>
      </c>
      <c r="F14" s="10">
        <v>0</v>
      </c>
    </row>
    <row r="15" spans="1:10" x14ac:dyDescent="0.25">
      <c r="A15" s="24" t="s">
        <v>199</v>
      </c>
      <c r="B15" s="9"/>
      <c r="C15" s="10"/>
      <c r="D15" s="10"/>
      <c r="E15" s="10"/>
      <c r="F15" s="11"/>
    </row>
    <row r="16" spans="1:10" x14ac:dyDescent="0.25">
      <c r="A16" s="51" t="s">
        <v>193</v>
      </c>
      <c r="B16" s="9"/>
      <c r="C16" s="10"/>
      <c r="D16" s="10"/>
      <c r="E16" s="10"/>
      <c r="F16" s="11"/>
    </row>
    <row r="17" spans="1:6" x14ac:dyDescent="0.25">
      <c r="A17" s="14" t="s">
        <v>218</v>
      </c>
      <c r="B17" s="9"/>
      <c r="C17" s="10"/>
      <c r="D17" s="10"/>
      <c r="E17" s="10"/>
      <c r="F17" s="11"/>
    </row>
  </sheetData>
  <mergeCells count="4">
    <mergeCell ref="A3:H3"/>
    <mergeCell ref="A5:H5"/>
    <mergeCell ref="A7:C7"/>
    <mergeCell ref="A1:J1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4"/>
  <sheetViews>
    <sheetView tabSelected="1" workbookViewId="0">
      <selection activeCell="E58" sqref="E5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1" max="11" width="12.7109375" bestFit="1" customWidth="1"/>
    <col min="12" max="12" width="13.140625" customWidth="1"/>
    <col min="14" max="14" width="11.140625" customWidth="1"/>
    <col min="15" max="15" width="11.85546875" customWidth="1"/>
    <col min="16" max="16" width="9.7109375" bestFit="1" customWidth="1"/>
  </cols>
  <sheetData>
    <row r="1" spans="1:12" ht="42" customHeight="1" x14ac:dyDescent="0.25">
      <c r="A1" s="179" t="s">
        <v>219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2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2" ht="18" customHeight="1" x14ac:dyDescent="0.25">
      <c r="A3" s="179" t="s">
        <v>21</v>
      </c>
      <c r="B3" s="190"/>
      <c r="C3" s="190"/>
      <c r="D3" s="190"/>
      <c r="E3" s="190"/>
      <c r="F3" s="190"/>
      <c r="G3" s="190"/>
      <c r="H3" s="190"/>
      <c r="I3" s="190"/>
    </row>
    <row r="4" spans="1:12" ht="18" x14ac:dyDescent="0.25">
      <c r="A4" s="233" t="s">
        <v>158</v>
      </c>
      <c r="B4" s="233"/>
      <c r="C4" s="233"/>
      <c r="D4" s="98">
        <v>7.5345000000000004</v>
      </c>
      <c r="E4" s="4"/>
      <c r="F4" s="4"/>
      <c r="G4" s="4"/>
      <c r="H4" s="170"/>
      <c r="I4" s="100" t="s">
        <v>159</v>
      </c>
    </row>
    <row r="5" spans="1:12" ht="25.5" x14ac:dyDescent="0.25">
      <c r="A5" s="230" t="s">
        <v>23</v>
      </c>
      <c r="B5" s="231"/>
      <c r="C5" s="232"/>
      <c r="D5" s="20" t="s">
        <v>24</v>
      </c>
      <c r="E5" s="20" t="s">
        <v>182</v>
      </c>
      <c r="F5" s="21" t="s">
        <v>169</v>
      </c>
      <c r="G5" s="21" t="s">
        <v>183</v>
      </c>
      <c r="H5" s="21" t="s">
        <v>33</v>
      </c>
      <c r="I5" s="21" t="s">
        <v>184</v>
      </c>
    </row>
    <row r="6" spans="1:12" x14ac:dyDescent="0.25">
      <c r="A6" s="227" t="s">
        <v>52</v>
      </c>
      <c r="B6" s="228"/>
      <c r="C6" s="229"/>
      <c r="D6" s="27" t="s">
        <v>53</v>
      </c>
      <c r="E6" s="141">
        <f>16037715.57/D4</f>
        <v>2128570.6510053752</v>
      </c>
      <c r="F6" s="45">
        <v>2306307</v>
      </c>
      <c r="G6" s="45">
        <v>2383000</v>
      </c>
      <c r="H6" s="70">
        <v>2443000</v>
      </c>
      <c r="I6" s="70">
        <v>2436000</v>
      </c>
    </row>
    <row r="7" spans="1:12" x14ac:dyDescent="0.25">
      <c r="A7" s="227" t="s">
        <v>54</v>
      </c>
      <c r="B7" s="228"/>
      <c r="C7" s="229"/>
      <c r="D7" s="27" t="s">
        <v>55</v>
      </c>
      <c r="E7" s="141">
        <f>15794361.77/D4</f>
        <v>2096272.0512310038</v>
      </c>
      <c r="F7" s="45">
        <v>2255170</v>
      </c>
      <c r="G7" s="46">
        <v>2331900</v>
      </c>
      <c r="H7" s="107">
        <f>H6-H40</f>
        <v>2391900</v>
      </c>
      <c r="I7" s="107">
        <f>I6-I40</f>
        <v>2384900</v>
      </c>
      <c r="K7" s="56"/>
      <c r="L7" s="56"/>
    </row>
    <row r="8" spans="1:12" x14ac:dyDescent="0.25">
      <c r="A8" s="234" t="s">
        <v>56</v>
      </c>
      <c r="B8" s="235"/>
      <c r="C8" s="236"/>
      <c r="D8" s="40" t="s">
        <v>11</v>
      </c>
      <c r="E8" s="155">
        <f>11103169.62/D4</f>
        <v>1473643.8542703562</v>
      </c>
      <c r="F8" s="69">
        <v>1606735</v>
      </c>
      <c r="G8" s="71">
        <f>1670000+32500</f>
        <v>1702500</v>
      </c>
      <c r="H8" s="71">
        <v>1766700</v>
      </c>
      <c r="I8" s="71">
        <f>I9</f>
        <v>1759700</v>
      </c>
      <c r="K8" s="56"/>
      <c r="L8" s="56"/>
    </row>
    <row r="9" spans="1:12" x14ac:dyDescent="0.25">
      <c r="A9" s="237">
        <v>3</v>
      </c>
      <c r="B9" s="238"/>
      <c r="C9" s="239"/>
      <c r="D9" s="26" t="s">
        <v>14</v>
      </c>
      <c r="E9" s="144">
        <v>1473643.85</v>
      </c>
      <c r="F9" s="9">
        <v>1606735</v>
      </c>
      <c r="G9" s="10">
        <f>G10+G11</f>
        <v>1702500</v>
      </c>
      <c r="H9" s="10">
        <f>SUM(H10:H11)</f>
        <v>1766700</v>
      </c>
      <c r="I9" s="10">
        <f>SUM(I10:I11)</f>
        <v>1759700</v>
      </c>
      <c r="K9" s="56"/>
      <c r="L9" s="56"/>
    </row>
    <row r="10" spans="1:12" s="176" customFormat="1" x14ac:dyDescent="0.25">
      <c r="A10" s="240">
        <v>31</v>
      </c>
      <c r="B10" s="241"/>
      <c r="C10" s="242"/>
      <c r="D10" s="172" t="s">
        <v>15</v>
      </c>
      <c r="E10" s="173">
        <f>11042782.12/D4</f>
        <v>1465629.0556772179</v>
      </c>
      <c r="F10" s="174">
        <v>1599363</v>
      </c>
      <c r="G10" s="174">
        <f>1410700+32500+10600+5000+236500</f>
        <v>1695300</v>
      </c>
      <c r="H10" s="174">
        <f>1740800+18800</f>
        <v>1759600</v>
      </c>
      <c r="I10" s="175">
        <f>1736700+16000</f>
        <v>1752700</v>
      </c>
      <c r="K10" s="177"/>
      <c r="L10" s="177"/>
    </row>
    <row r="11" spans="1:12" s="176" customFormat="1" x14ac:dyDescent="0.25">
      <c r="A11" s="240">
        <v>32</v>
      </c>
      <c r="B11" s="241"/>
      <c r="C11" s="242"/>
      <c r="D11" s="172" t="s">
        <v>25</v>
      </c>
      <c r="E11" s="173">
        <f>60387.5/D4</f>
        <v>8014.79859313823</v>
      </c>
      <c r="F11" s="174">
        <v>7372</v>
      </c>
      <c r="G11" s="174">
        <f>4000+1500+1700</f>
        <v>7200</v>
      </c>
      <c r="H11" s="174">
        <v>7100</v>
      </c>
      <c r="I11" s="174">
        <v>7000</v>
      </c>
      <c r="K11" s="177"/>
      <c r="L11" s="177"/>
    </row>
    <row r="12" spans="1:12" s="108" customFormat="1" x14ac:dyDescent="0.25">
      <c r="A12" s="234" t="s">
        <v>60</v>
      </c>
      <c r="B12" s="235"/>
      <c r="C12" s="236"/>
      <c r="D12" s="40" t="s">
        <v>28</v>
      </c>
      <c r="E12" s="155">
        <f>15900/D4</f>
        <v>2110.2926537925541</v>
      </c>
      <c r="F12" s="71">
        <v>3100</v>
      </c>
      <c r="G12" s="71">
        <v>3200</v>
      </c>
      <c r="H12" s="71">
        <v>3200</v>
      </c>
      <c r="I12" s="71">
        <v>3200</v>
      </c>
      <c r="K12" s="110"/>
      <c r="L12" s="110"/>
    </row>
    <row r="13" spans="1:12" x14ac:dyDescent="0.25">
      <c r="A13" s="237">
        <v>3</v>
      </c>
      <c r="B13" s="238"/>
      <c r="C13" s="239"/>
      <c r="D13" s="26" t="s">
        <v>14</v>
      </c>
      <c r="E13" s="144">
        <v>2110.29</v>
      </c>
      <c r="F13" s="10">
        <v>3100</v>
      </c>
      <c r="G13" s="10">
        <v>3200</v>
      </c>
      <c r="H13" s="10">
        <v>3200</v>
      </c>
      <c r="I13" s="10">
        <v>3200</v>
      </c>
      <c r="K13" s="56"/>
      <c r="L13" s="56"/>
    </row>
    <row r="14" spans="1:12" s="176" customFormat="1" x14ac:dyDescent="0.25">
      <c r="A14" s="240">
        <v>32</v>
      </c>
      <c r="B14" s="241"/>
      <c r="C14" s="242"/>
      <c r="D14" s="172" t="s">
        <v>25</v>
      </c>
      <c r="E14" s="173">
        <v>2110.29</v>
      </c>
      <c r="F14" s="174">
        <v>3100</v>
      </c>
      <c r="G14" s="174">
        <v>3200</v>
      </c>
      <c r="H14" s="174">
        <v>3200</v>
      </c>
      <c r="I14" s="174">
        <v>3200</v>
      </c>
      <c r="K14" s="177"/>
      <c r="L14" s="177"/>
    </row>
    <row r="15" spans="1:12" s="108" customFormat="1" ht="15" customHeight="1" x14ac:dyDescent="0.25">
      <c r="A15" s="234" t="s">
        <v>61</v>
      </c>
      <c r="B15" s="235"/>
      <c r="C15" s="236"/>
      <c r="D15" s="40" t="s">
        <v>41</v>
      </c>
      <c r="E15" s="166">
        <f>E16+E20</f>
        <v>584172.47290132067</v>
      </c>
      <c r="F15" s="69">
        <v>612664</v>
      </c>
      <c r="G15" s="109">
        <v>615200</v>
      </c>
      <c r="H15" s="71">
        <f>H16+H20</f>
        <v>616000</v>
      </c>
      <c r="I15" s="109">
        <f>I16+I20</f>
        <v>616000</v>
      </c>
      <c r="K15" s="110"/>
      <c r="L15" s="110"/>
    </row>
    <row r="16" spans="1:12" ht="15" customHeight="1" x14ac:dyDescent="0.25">
      <c r="A16" s="237">
        <v>3</v>
      </c>
      <c r="B16" s="238"/>
      <c r="C16" s="239"/>
      <c r="D16" s="26" t="s">
        <v>14</v>
      </c>
      <c r="E16" s="144">
        <f>SUM(E17:E19)</f>
        <v>581514.91290132061</v>
      </c>
      <c r="F16" s="9">
        <v>595155</v>
      </c>
      <c r="G16" s="10">
        <f>G15-G20</f>
        <v>612100</v>
      </c>
      <c r="H16" s="10">
        <f>SUM(H17:H19)</f>
        <v>613000</v>
      </c>
      <c r="I16" s="10">
        <f>SUM(I17:I19)</f>
        <v>613000</v>
      </c>
      <c r="J16" s="56"/>
      <c r="K16" s="56"/>
      <c r="L16" s="56"/>
    </row>
    <row r="17" spans="1:18" s="176" customFormat="1" ht="15" customHeight="1" x14ac:dyDescent="0.25">
      <c r="A17" s="240">
        <v>31</v>
      </c>
      <c r="B17" s="241"/>
      <c r="C17" s="242"/>
      <c r="D17" s="172" t="s">
        <v>15</v>
      </c>
      <c r="E17" s="173">
        <f>1469563.28/D4</f>
        <v>195044.56566460946</v>
      </c>
      <c r="F17" s="174">
        <v>201732</v>
      </c>
      <c r="G17" s="174">
        <f>20400+3000+2700+8900+37400+6400+137800</f>
        <v>216600</v>
      </c>
      <c r="H17" s="174">
        <f>218000-3100</f>
        <v>214900</v>
      </c>
      <c r="I17" s="175">
        <f>218500-4100</f>
        <v>214400</v>
      </c>
      <c r="K17" s="177"/>
      <c r="L17" s="177"/>
    </row>
    <row r="18" spans="1:18" s="176" customFormat="1" ht="15" customHeight="1" x14ac:dyDescent="0.25">
      <c r="A18" s="240">
        <v>32</v>
      </c>
      <c r="B18" s="241"/>
      <c r="C18" s="242"/>
      <c r="D18" s="172" t="s">
        <v>25</v>
      </c>
      <c r="E18" s="173">
        <v>383842.79</v>
      </c>
      <c r="F18" s="174">
        <v>391100</v>
      </c>
      <c r="G18" s="174">
        <f>G16-G17-G19</f>
        <v>393100</v>
      </c>
      <c r="H18" s="175">
        <f>395000+11100-10500</f>
        <v>395600</v>
      </c>
      <c r="I18" s="175">
        <f>395300-10400+11100</f>
        <v>396000</v>
      </c>
      <c r="K18" s="177"/>
      <c r="L18" s="177"/>
    </row>
    <row r="19" spans="1:18" ht="15" customHeight="1" x14ac:dyDescent="0.25">
      <c r="A19" s="243">
        <v>34</v>
      </c>
      <c r="B19" s="244"/>
      <c r="C19" s="245"/>
      <c r="D19" s="26" t="s">
        <v>45</v>
      </c>
      <c r="E19" s="144">
        <f>19797.33/D4</f>
        <v>2627.557236711129</v>
      </c>
      <c r="F19" s="10">
        <v>2323</v>
      </c>
      <c r="G19" s="10">
        <v>2400</v>
      </c>
      <c r="H19" s="10">
        <v>2500</v>
      </c>
      <c r="I19" s="10">
        <v>2600</v>
      </c>
      <c r="K19" s="56"/>
      <c r="L19" s="56"/>
    </row>
    <row r="20" spans="1:18" ht="25.5" x14ac:dyDescent="0.25">
      <c r="A20" s="237">
        <v>4</v>
      </c>
      <c r="B20" s="238"/>
      <c r="C20" s="239"/>
      <c r="D20" s="26" t="s">
        <v>16</v>
      </c>
      <c r="E20" s="144">
        <v>2657.56</v>
      </c>
      <c r="F20" s="10">
        <v>17509</v>
      </c>
      <c r="G20" s="10">
        <v>3100</v>
      </c>
      <c r="H20" s="10">
        <v>3000</v>
      </c>
      <c r="I20" s="10">
        <v>3000</v>
      </c>
      <c r="K20" s="56"/>
      <c r="L20" s="56"/>
    </row>
    <row r="21" spans="1:18" ht="25.5" x14ac:dyDescent="0.25">
      <c r="A21" s="243">
        <v>42</v>
      </c>
      <c r="B21" s="244"/>
      <c r="C21" s="245"/>
      <c r="D21" s="26" t="s">
        <v>38</v>
      </c>
      <c r="E21" s="144">
        <v>2657.56</v>
      </c>
      <c r="F21" s="10">
        <v>17509</v>
      </c>
      <c r="G21" s="10">
        <v>3100</v>
      </c>
      <c r="H21" s="10">
        <v>3000</v>
      </c>
      <c r="I21" s="10">
        <v>3000</v>
      </c>
      <c r="K21" s="56"/>
      <c r="L21" s="56"/>
    </row>
    <row r="22" spans="1:18" s="108" customFormat="1" x14ac:dyDescent="0.25">
      <c r="A22" s="234" t="s">
        <v>62</v>
      </c>
      <c r="B22" s="235"/>
      <c r="C22" s="236"/>
      <c r="D22" s="40" t="s">
        <v>65</v>
      </c>
      <c r="E22" s="155">
        <f>64500/D4</f>
        <v>8560.6211427433791</v>
      </c>
      <c r="F22" s="71">
        <v>5906</v>
      </c>
      <c r="G22" s="71">
        <v>5900</v>
      </c>
      <c r="H22" s="71">
        <v>5900</v>
      </c>
      <c r="I22" s="71">
        <v>5900</v>
      </c>
      <c r="K22" s="110"/>
      <c r="L22" s="110"/>
    </row>
    <row r="23" spans="1:18" x14ac:dyDescent="0.25">
      <c r="A23" s="237">
        <v>3</v>
      </c>
      <c r="B23" s="238"/>
      <c r="C23" s="239"/>
      <c r="D23" s="26" t="s">
        <v>14</v>
      </c>
      <c r="E23" s="144">
        <v>8560.6200000000008</v>
      </c>
      <c r="F23" s="10">
        <v>5906</v>
      </c>
      <c r="G23" s="10">
        <v>5900</v>
      </c>
      <c r="H23" s="10">
        <v>5900</v>
      </c>
      <c r="I23" s="10">
        <v>5900</v>
      </c>
      <c r="K23" s="56"/>
      <c r="L23" s="56"/>
    </row>
    <row r="24" spans="1:18" s="176" customFormat="1" x14ac:dyDescent="0.25">
      <c r="A24" s="240">
        <v>32</v>
      </c>
      <c r="B24" s="241"/>
      <c r="C24" s="242"/>
      <c r="D24" s="172" t="s">
        <v>25</v>
      </c>
      <c r="E24" s="173">
        <v>8560.6200000000008</v>
      </c>
      <c r="F24" s="174">
        <v>5906</v>
      </c>
      <c r="G24" s="174">
        <v>5900</v>
      </c>
      <c r="H24" s="174">
        <v>5900</v>
      </c>
      <c r="I24" s="174">
        <v>5900</v>
      </c>
      <c r="L24" s="177"/>
      <c r="M24" s="177"/>
      <c r="N24" s="177"/>
      <c r="O24" s="177"/>
      <c r="P24" s="177"/>
      <c r="Q24" s="177"/>
      <c r="R24" s="177"/>
    </row>
    <row r="25" spans="1:18" s="108" customFormat="1" x14ac:dyDescent="0.25">
      <c r="A25" s="234" t="s">
        <v>63</v>
      </c>
      <c r="B25" s="235"/>
      <c r="C25" s="236"/>
      <c r="D25" s="40" t="s">
        <v>43</v>
      </c>
      <c r="E25" s="155">
        <v>0</v>
      </c>
      <c r="F25" s="71">
        <v>1130</v>
      </c>
      <c r="G25" s="71">
        <v>100</v>
      </c>
      <c r="H25" s="71">
        <v>100</v>
      </c>
      <c r="I25" s="71">
        <v>100</v>
      </c>
      <c r="K25" s="164"/>
      <c r="L25" s="110"/>
      <c r="M25" s="110"/>
      <c r="N25" s="110"/>
      <c r="O25" s="110"/>
      <c r="P25" s="110"/>
      <c r="Q25" s="110"/>
      <c r="R25" s="110"/>
    </row>
    <row r="26" spans="1:18" x14ac:dyDescent="0.25">
      <c r="A26" s="237">
        <v>3</v>
      </c>
      <c r="B26" s="238"/>
      <c r="C26" s="239"/>
      <c r="D26" s="26" t="s">
        <v>14</v>
      </c>
      <c r="E26" s="144">
        <v>0</v>
      </c>
      <c r="F26" s="10">
        <v>1130</v>
      </c>
      <c r="G26" s="10">
        <v>100</v>
      </c>
      <c r="H26" s="10">
        <v>100</v>
      </c>
      <c r="I26" s="10">
        <v>100</v>
      </c>
      <c r="L26" s="56"/>
      <c r="M26" s="56"/>
      <c r="N26" s="56"/>
      <c r="O26" s="56"/>
      <c r="P26" s="56"/>
      <c r="Q26" s="56"/>
      <c r="R26" s="56"/>
    </row>
    <row r="27" spans="1:18" s="176" customFormat="1" x14ac:dyDescent="0.25">
      <c r="A27" s="240">
        <v>32</v>
      </c>
      <c r="B27" s="241"/>
      <c r="C27" s="242"/>
      <c r="D27" s="172" t="s">
        <v>25</v>
      </c>
      <c r="E27" s="173">
        <v>0</v>
      </c>
      <c r="F27" s="174">
        <v>330</v>
      </c>
      <c r="G27" s="174">
        <v>100</v>
      </c>
      <c r="H27" s="174">
        <v>100</v>
      </c>
      <c r="I27" s="174">
        <v>100</v>
      </c>
      <c r="L27" s="177"/>
      <c r="M27" s="177"/>
      <c r="N27" s="177"/>
      <c r="O27" s="177"/>
      <c r="P27" s="177"/>
      <c r="Q27" s="177"/>
      <c r="R27" s="177"/>
    </row>
    <row r="28" spans="1:18" ht="25.5" x14ac:dyDescent="0.25">
      <c r="A28" s="237">
        <v>4</v>
      </c>
      <c r="B28" s="238"/>
      <c r="C28" s="239"/>
      <c r="D28" s="26" t="s">
        <v>16</v>
      </c>
      <c r="E28" s="144">
        <v>0</v>
      </c>
      <c r="F28" s="10">
        <v>800</v>
      </c>
      <c r="G28" s="10">
        <v>0</v>
      </c>
      <c r="H28" s="10">
        <v>0</v>
      </c>
      <c r="I28" s="11">
        <v>0</v>
      </c>
      <c r="K28" s="165"/>
    </row>
    <row r="29" spans="1:18" ht="25.5" x14ac:dyDescent="0.25">
      <c r="A29" s="243">
        <v>42</v>
      </c>
      <c r="B29" s="244"/>
      <c r="C29" s="245"/>
      <c r="D29" s="26" t="s">
        <v>38</v>
      </c>
      <c r="E29" s="144">
        <v>0</v>
      </c>
      <c r="F29" s="10">
        <v>800</v>
      </c>
      <c r="G29" s="10">
        <v>0</v>
      </c>
      <c r="H29" s="10">
        <v>0</v>
      </c>
      <c r="I29" s="11">
        <v>0</v>
      </c>
    </row>
    <row r="30" spans="1:18" s="108" customFormat="1" x14ac:dyDescent="0.25">
      <c r="A30" s="234" t="s">
        <v>212</v>
      </c>
      <c r="B30" s="235"/>
      <c r="C30" s="236"/>
      <c r="D30" s="40" t="s">
        <v>44</v>
      </c>
      <c r="E30" s="155">
        <f>29999/D4</f>
        <v>3981.5515296303665</v>
      </c>
      <c r="F30" s="71">
        <v>0</v>
      </c>
      <c r="G30" s="71">
        <v>0</v>
      </c>
      <c r="H30" s="71">
        <v>0</v>
      </c>
      <c r="I30" s="111">
        <v>0</v>
      </c>
    </row>
    <row r="31" spans="1:18" ht="25.5" x14ac:dyDescent="0.25">
      <c r="A31" s="237">
        <v>4</v>
      </c>
      <c r="B31" s="238"/>
      <c r="C31" s="239"/>
      <c r="D31" s="26" t="s">
        <v>16</v>
      </c>
      <c r="E31" s="144">
        <v>3981.55</v>
      </c>
      <c r="F31" s="10">
        <v>0</v>
      </c>
      <c r="G31" s="10">
        <v>0</v>
      </c>
      <c r="H31" s="10">
        <v>0</v>
      </c>
      <c r="I31" s="11">
        <v>0</v>
      </c>
    </row>
    <row r="32" spans="1:18" ht="25.5" x14ac:dyDescent="0.25">
      <c r="A32" s="243">
        <v>42</v>
      </c>
      <c r="B32" s="244"/>
      <c r="C32" s="245"/>
      <c r="D32" s="26" t="s">
        <v>38</v>
      </c>
      <c r="E32" s="144">
        <v>3981.55</v>
      </c>
      <c r="F32" s="10">
        <v>0</v>
      </c>
      <c r="G32" s="10">
        <v>0</v>
      </c>
      <c r="H32" s="10">
        <v>0</v>
      </c>
      <c r="I32" s="11">
        <v>0</v>
      </c>
    </row>
    <row r="33" spans="1:18" s="108" customFormat="1" ht="15" customHeight="1" x14ac:dyDescent="0.25">
      <c r="A33" s="234" t="s">
        <v>206</v>
      </c>
      <c r="B33" s="235"/>
      <c r="C33" s="236"/>
      <c r="D33" s="40" t="s">
        <v>207</v>
      </c>
      <c r="E33" s="155">
        <v>23803.26</v>
      </c>
      <c r="F33" s="69">
        <v>25635</v>
      </c>
      <c r="G33" s="109">
        <v>5000</v>
      </c>
      <c r="H33" s="71">
        <v>0</v>
      </c>
      <c r="I33" s="109">
        <v>0</v>
      </c>
      <c r="K33" s="110"/>
      <c r="L33" s="110"/>
      <c r="M33" s="110"/>
      <c r="N33" s="110"/>
      <c r="O33" s="110"/>
      <c r="P33" s="110"/>
      <c r="Q33" s="110"/>
      <c r="R33" s="110"/>
    </row>
    <row r="34" spans="1:18" ht="15" customHeight="1" x14ac:dyDescent="0.25">
      <c r="A34" s="237">
        <v>3</v>
      </c>
      <c r="B34" s="238"/>
      <c r="C34" s="239"/>
      <c r="D34" s="26" t="s">
        <v>14</v>
      </c>
      <c r="E34" s="144"/>
      <c r="F34" s="9">
        <v>21944</v>
      </c>
      <c r="G34" s="10">
        <v>5000</v>
      </c>
      <c r="H34" s="10">
        <v>0</v>
      </c>
      <c r="I34" s="10">
        <v>0</v>
      </c>
      <c r="K34" s="56"/>
      <c r="L34" s="56"/>
      <c r="M34" s="56"/>
      <c r="N34" s="56"/>
      <c r="O34" s="56"/>
      <c r="P34" s="56"/>
      <c r="Q34" s="56"/>
      <c r="R34" s="56"/>
    </row>
    <row r="35" spans="1:18" s="176" customFormat="1" ht="15" customHeight="1" x14ac:dyDescent="0.25">
      <c r="A35" s="240">
        <v>31</v>
      </c>
      <c r="B35" s="241"/>
      <c r="C35" s="242"/>
      <c r="D35" s="172" t="s">
        <v>15</v>
      </c>
      <c r="E35" s="173">
        <v>0</v>
      </c>
      <c r="F35" s="174">
        <v>13272</v>
      </c>
      <c r="G35" s="174">
        <v>5000</v>
      </c>
      <c r="H35" s="174">
        <v>0</v>
      </c>
      <c r="I35" s="175">
        <v>0</v>
      </c>
      <c r="K35" s="178"/>
      <c r="L35" s="177"/>
      <c r="M35" s="177"/>
      <c r="N35" s="177"/>
      <c r="O35" s="177"/>
      <c r="P35" s="177"/>
      <c r="Q35" s="177"/>
      <c r="R35" s="177"/>
    </row>
    <row r="36" spans="1:18" s="176" customFormat="1" ht="15" customHeight="1" x14ac:dyDescent="0.25">
      <c r="A36" s="240">
        <v>32</v>
      </c>
      <c r="B36" s="241"/>
      <c r="C36" s="242"/>
      <c r="D36" s="172" t="s">
        <v>25</v>
      </c>
      <c r="E36" s="173">
        <v>23803.26</v>
      </c>
      <c r="F36" s="174">
        <v>8542</v>
      </c>
      <c r="G36" s="174">
        <v>0</v>
      </c>
      <c r="H36" s="174">
        <v>0</v>
      </c>
      <c r="I36" s="175">
        <v>0</v>
      </c>
      <c r="K36" s="178"/>
      <c r="L36" s="177"/>
      <c r="M36" s="177"/>
      <c r="N36" s="177"/>
      <c r="O36" s="177"/>
      <c r="P36" s="177"/>
      <c r="Q36" s="177"/>
      <c r="R36" s="177"/>
    </row>
    <row r="37" spans="1:18" ht="15" customHeight="1" x14ac:dyDescent="0.25">
      <c r="A37" s="243">
        <v>38</v>
      </c>
      <c r="B37" s="244"/>
      <c r="C37" s="245"/>
      <c r="D37" s="26" t="s">
        <v>47</v>
      </c>
      <c r="E37" s="144">
        <v>0</v>
      </c>
      <c r="F37" s="10">
        <v>130</v>
      </c>
      <c r="G37" s="10">
        <v>0</v>
      </c>
      <c r="H37" s="10">
        <v>0</v>
      </c>
      <c r="I37" s="10">
        <v>0</v>
      </c>
      <c r="K37" s="99"/>
      <c r="L37" s="56"/>
      <c r="M37" s="56"/>
      <c r="N37" s="56"/>
      <c r="O37" s="56"/>
      <c r="P37" s="56"/>
      <c r="Q37" s="56"/>
      <c r="R37" s="56"/>
    </row>
    <row r="38" spans="1:18" ht="25.5" x14ac:dyDescent="0.25">
      <c r="A38" s="237">
        <v>4</v>
      </c>
      <c r="B38" s="238"/>
      <c r="C38" s="239"/>
      <c r="D38" s="26" t="s">
        <v>16</v>
      </c>
      <c r="E38" s="144">
        <v>0</v>
      </c>
      <c r="F38" s="10">
        <v>3691</v>
      </c>
      <c r="G38" s="10">
        <v>0</v>
      </c>
      <c r="H38" s="10">
        <v>0</v>
      </c>
      <c r="I38" s="10">
        <v>0</v>
      </c>
      <c r="L38" s="56"/>
      <c r="M38" s="56"/>
      <c r="N38" s="56"/>
      <c r="O38" s="56"/>
      <c r="P38" s="56"/>
      <c r="Q38" s="56"/>
      <c r="R38" s="56"/>
    </row>
    <row r="39" spans="1:18" ht="25.5" x14ac:dyDescent="0.25">
      <c r="A39" s="243">
        <v>42</v>
      </c>
      <c r="B39" s="244"/>
      <c r="C39" s="245"/>
      <c r="D39" s="26" t="s">
        <v>38</v>
      </c>
      <c r="E39" s="144">
        <v>0</v>
      </c>
      <c r="F39" s="10">
        <v>3691</v>
      </c>
      <c r="G39" s="10">
        <v>0</v>
      </c>
      <c r="H39" s="10">
        <v>0</v>
      </c>
      <c r="I39" s="10">
        <v>0</v>
      </c>
      <c r="L39" s="56"/>
      <c r="M39" s="56"/>
      <c r="N39" s="56"/>
      <c r="O39" s="56"/>
      <c r="P39" s="56"/>
      <c r="Q39" s="56"/>
      <c r="R39" s="56"/>
    </row>
    <row r="40" spans="1:18" ht="28.5" customHeight="1" x14ac:dyDescent="0.25">
      <c r="A40" s="227" t="s">
        <v>57</v>
      </c>
      <c r="B40" s="228"/>
      <c r="C40" s="229"/>
      <c r="D40" s="27" t="s">
        <v>58</v>
      </c>
      <c r="E40" s="141">
        <f>E41+E44</f>
        <v>32298.599202999536</v>
      </c>
      <c r="F40" s="45">
        <v>51137</v>
      </c>
      <c r="G40" s="46">
        <f>G41+G44</f>
        <v>51100</v>
      </c>
      <c r="H40" s="46">
        <v>51100</v>
      </c>
      <c r="I40" s="46">
        <v>51100</v>
      </c>
      <c r="K40" s="99"/>
    </row>
    <row r="41" spans="1:18" s="108" customFormat="1" ht="15" customHeight="1" x14ac:dyDescent="0.25">
      <c r="A41" s="234" t="s">
        <v>62</v>
      </c>
      <c r="B41" s="235"/>
      <c r="C41" s="236"/>
      <c r="D41" s="40" t="s">
        <v>65</v>
      </c>
      <c r="E41" s="155">
        <f>57400/D4</f>
        <v>7618.2892029995346</v>
      </c>
      <c r="F41" s="71">
        <v>11137</v>
      </c>
      <c r="G41" s="71">
        <v>11100</v>
      </c>
      <c r="H41" s="71">
        <v>11100</v>
      </c>
      <c r="I41" s="71">
        <v>11100</v>
      </c>
    </row>
    <row r="42" spans="1:18" x14ac:dyDescent="0.25">
      <c r="A42" s="237">
        <v>3</v>
      </c>
      <c r="B42" s="238"/>
      <c r="C42" s="239"/>
      <c r="D42" s="26" t="s">
        <v>14</v>
      </c>
      <c r="E42" s="144">
        <v>7618.29</v>
      </c>
      <c r="F42" s="10">
        <v>11137</v>
      </c>
      <c r="G42" s="10">
        <v>11100</v>
      </c>
      <c r="H42" s="10">
        <v>11100</v>
      </c>
      <c r="I42" s="10">
        <v>11100</v>
      </c>
    </row>
    <row r="43" spans="1:18" s="176" customFormat="1" x14ac:dyDescent="0.25">
      <c r="A43" s="240">
        <v>32</v>
      </c>
      <c r="B43" s="241"/>
      <c r="C43" s="242"/>
      <c r="D43" s="172" t="s">
        <v>25</v>
      </c>
      <c r="E43" s="173">
        <v>7618.29</v>
      </c>
      <c r="F43" s="174">
        <v>11137</v>
      </c>
      <c r="G43" s="174">
        <v>11100</v>
      </c>
      <c r="H43" s="174">
        <v>11100</v>
      </c>
      <c r="I43" s="174">
        <v>11100</v>
      </c>
      <c r="K43" s="178"/>
      <c r="L43" s="178"/>
    </row>
    <row r="44" spans="1:18" s="108" customFormat="1" x14ac:dyDescent="0.25">
      <c r="A44" s="234" t="s">
        <v>56</v>
      </c>
      <c r="B44" s="235"/>
      <c r="C44" s="236"/>
      <c r="D44" s="40" t="s">
        <v>11</v>
      </c>
      <c r="E44" s="155">
        <v>24680.31</v>
      </c>
      <c r="F44" s="71">
        <v>40000</v>
      </c>
      <c r="G44" s="71">
        <v>40000</v>
      </c>
      <c r="H44" s="71">
        <v>40000</v>
      </c>
      <c r="I44" s="71">
        <v>40000</v>
      </c>
    </row>
    <row r="45" spans="1:18" x14ac:dyDescent="0.25">
      <c r="A45" s="237">
        <v>3</v>
      </c>
      <c r="B45" s="238"/>
      <c r="C45" s="239"/>
      <c r="D45" s="26" t="s">
        <v>14</v>
      </c>
      <c r="E45" s="144">
        <v>24680.31</v>
      </c>
      <c r="F45" s="10">
        <v>40000</v>
      </c>
      <c r="G45" s="10">
        <v>40000</v>
      </c>
      <c r="H45" s="10">
        <v>40000</v>
      </c>
      <c r="I45" s="10">
        <v>40000</v>
      </c>
    </row>
    <row r="46" spans="1:18" ht="38.25" x14ac:dyDescent="0.25">
      <c r="A46" s="243">
        <v>37</v>
      </c>
      <c r="B46" s="244"/>
      <c r="C46" s="245"/>
      <c r="D46" s="26" t="s">
        <v>59</v>
      </c>
      <c r="E46" s="144">
        <f>185953.8/D4</f>
        <v>24680.310571371687</v>
      </c>
      <c r="F46" s="10">
        <v>40000</v>
      </c>
      <c r="G46" s="10">
        <v>40000</v>
      </c>
      <c r="H46" s="10">
        <v>40000</v>
      </c>
      <c r="I46" s="10">
        <v>40000</v>
      </c>
    </row>
    <row r="47" spans="1:18" x14ac:dyDescent="0.25">
      <c r="A47" s="93" t="s">
        <v>201</v>
      </c>
      <c r="B47" s="93"/>
      <c r="C47" s="93"/>
      <c r="D47" s="93"/>
      <c r="E47" s="93"/>
      <c r="F47" s="93"/>
      <c r="G47" s="93"/>
      <c r="H47" s="93"/>
      <c r="I47" s="93"/>
    </row>
    <row r="48" spans="1:18" x14ac:dyDescent="0.25">
      <c r="A48" s="92"/>
      <c r="B48" s="92"/>
      <c r="C48" s="92"/>
      <c r="D48" s="92"/>
    </row>
    <row r="49" spans="1:8" x14ac:dyDescent="0.25">
      <c r="A49" t="s">
        <v>223</v>
      </c>
    </row>
    <row r="51" spans="1:8" x14ac:dyDescent="0.25">
      <c r="A51" t="s">
        <v>152</v>
      </c>
      <c r="B51" t="s">
        <v>220</v>
      </c>
    </row>
    <row r="52" spans="1:8" x14ac:dyDescent="0.25">
      <c r="A52" t="s">
        <v>221</v>
      </c>
    </row>
    <row r="53" spans="1:8" x14ac:dyDescent="0.25">
      <c r="A53" t="s">
        <v>222</v>
      </c>
      <c r="H53" t="s">
        <v>154</v>
      </c>
    </row>
    <row r="54" spans="1:8" x14ac:dyDescent="0.25">
      <c r="H54" t="s">
        <v>155</v>
      </c>
    </row>
  </sheetData>
  <mergeCells count="45">
    <mergeCell ref="A39:C39"/>
    <mergeCell ref="A45:C45"/>
    <mergeCell ref="A46:C46"/>
    <mergeCell ref="A28:C28"/>
    <mergeCell ref="A29:C29"/>
    <mergeCell ref="A35:C35"/>
    <mergeCell ref="A36:C36"/>
    <mergeCell ref="A12:C12"/>
    <mergeCell ref="A13:C13"/>
    <mergeCell ref="A16:C16"/>
    <mergeCell ref="A14:C14"/>
    <mergeCell ref="A44:C44"/>
    <mergeCell ref="A17:C17"/>
    <mergeCell ref="A18:C18"/>
    <mergeCell ref="A19:C19"/>
    <mergeCell ref="A22:C22"/>
    <mergeCell ref="A23:C23"/>
    <mergeCell ref="A24:C24"/>
    <mergeCell ref="A25:C25"/>
    <mergeCell ref="A26:C26"/>
    <mergeCell ref="A33:C33"/>
    <mergeCell ref="A37:C37"/>
    <mergeCell ref="A38:C38"/>
    <mergeCell ref="A8:C8"/>
    <mergeCell ref="A9:C9"/>
    <mergeCell ref="A11:C11"/>
    <mergeCell ref="A10:C10"/>
    <mergeCell ref="A43:C43"/>
    <mergeCell ref="A42:C42"/>
    <mergeCell ref="A15:C15"/>
    <mergeCell ref="A30:C30"/>
    <mergeCell ref="A31:C31"/>
    <mergeCell ref="A32:C32"/>
    <mergeCell ref="A27:C27"/>
    <mergeCell ref="A20:C20"/>
    <mergeCell ref="A21:C21"/>
    <mergeCell ref="A40:C40"/>
    <mergeCell ref="A41:C41"/>
    <mergeCell ref="A34:C34"/>
    <mergeCell ref="A6:C6"/>
    <mergeCell ref="A7:C7"/>
    <mergeCell ref="A3:I3"/>
    <mergeCell ref="A5:C5"/>
    <mergeCell ref="A1:J1"/>
    <mergeCell ref="A4: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79" t="s">
        <v>37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79" t="s">
        <v>21</v>
      </c>
      <c r="B3" s="190"/>
      <c r="C3" s="190"/>
      <c r="D3" s="190"/>
      <c r="E3" s="190"/>
      <c r="F3" s="190"/>
      <c r="G3" s="190"/>
      <c r="H3" s="190"/>
      <c r="I3" s="190"/>
    </row>
    <row r="4" spans="1:9" ht="18" x14ac:dyDescent="0.25">
      <c r="A4" s="249" t="s">
        <v>157</v>
      </c>
      <c r="B4" s="250"/>
      <c r="C4" s="250"/>
      <c r="D4" s="100" t="s">
        <v>159</v>
      </c>
      <c r="E4" s="4"/>
      <c r="F4" s="4"/>
      <c r="G4" s="4"/>
      <c r="H4" s="101" t="s">
        <v>158</v>
      </c>
      <c r="I4" s="98">
        <v>7.5345000000000004</v>
      </c>
    </row>
    <row r="5" spans="1:9" ht="25.5" x14ac:dyDescent="0.25">
      <c r="A5" s="230" t="s">
        <v>23</v>
      </c>
      <c r="B5" s="231"/>
      <c r="C5" s="232"/>
      <c r="D5" s="20" t="s">
        <v>24</v>
      </c>
      <c r="E5" s="20" t="s">
        <v>4</v>
      </c>
      <c r="F5" s="21" t="s">
        <v>5</v>
      </c>
      <c r="G5" s="21" t="s">
        <v>31</v>
      </c>
      <c r="H5" s="21" t="s">
        <v>32</v>
      </c>
      <c r="I5" s="21" t="s">
        <v>33</v>
      </c>
    </row>
    <row r="6" spans="1:9" x14ac:dyDescent="0.25">
      <c r="A6" s="227" t="s">
        <v>52</v>
      </c>
      <c r="B6" s="228"/>
      <c r="C6" s="229"/>
      <c r="D6" s="27" t="s">
        <v>53</v>
      </c>
      <c r="E6" s="45">
        <f>(E7+E126)</f>
        <v>2035862.0718030389</v>
      </c>
      <c r="F6" s="45">
        <f>(F7+F126)</f>
        <v>2156281.1069082217</v>
      </c>
      <c r="G6" s="46">
        <v>2268896.4098480321</v>
      </c>
      <c r="H6" s="46">
        <f>(H7+H126)</f>
        <v>2296635.4789156546</v>
      </c>
      <c r="I6" s="46">
        <f>(I7+I126)</f>
        <v>2302740.7259937618</v>
      </c>
    </row>
    <row r="7" spans="1:9" x14ac:dyDescent="0.25">
      <c r="A7" s="227" t="s">
        <v>54</v>
      </c>
      <c r="B7" s="228"/>
      <c r="C7" s="229"/>
      <c r="D7" s="27" t="s">
        <v>55</v>
      </c>
      <c r="E7" s="45">
        <f>(E8+E20+E34+E107+E110+E116+E122)</f>
        <v>2005589.0185148313</v>
      </c>
      <c r="F7" s="45">
        <f>(SUM(F8,F20,F26,F110,F116,F122))</f>
        <v>2119583.2503815778</v>
      </c>
      <c r="G7" s="46">
        <v>2225164.2444754131</v>
      </c>
      <c r="H7" s="46">
        <f>(H8+H20+H26+H110+H116+H122)</f>
        <v>2252903.3135430352</v>
      </c>
      <c r="I7" s="46">
        <f>(I8+I20+I26+I110+I116+I122)</f>
        <v>2259008.5606211424</v>
      </c>
    </row>
    <row r="8" spans="1:9" x14ac:dyDescent="0.25">
      <c r="A8" s="246" t="s">
        <v>56</v>
      </c>
      <c r="B8" s="247"/>
      <c r="C8" s="248"/>
      <c r="D8" s="59" t="s">
        <v>11</v>
      </c>
      <c r="E8" s="45">
        <f>(E9)</f>
        <v>1460310.8089455168</v>
      </c>
      <c r="F8" s="45">
        <f>(F9)</f>
        <v>1495786.0508328357</v>
      </c>
      <c r="G8" s="46">
        <v>1604353.3081159997</v>
      </c>
      <c r="H8" s="46">
        <f>(H9)</f>
        <v>1571836.2200544162</v>
      </c>
      <c r="I8" s="46">
        <f>(I9)</f>
        <v>1583117.6587696592</v>
      </c>
    </row>
    <row r="9" spans="1:9" x14ac:dyDescent="0.25">
      <c r="A9" s="237">
        <v>3</v>
      </c>
      <c r="B9" s="238"/>
      <c r="C9" s="239"/>
      <c r="D9" s="26" t="s">
        <v>14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2">
        <v>31</v>
      </c>
      <c r="B10" s="73"/>
      <c r="C10" s="26"/>
      <c r="D10" s="26" t="s">
        <v>15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83">
        <v>31111</v>
      </c>
      <c r="B11" s="84"/>
      <c r="C11" s="85"/>
      <c r="D11" s="26" t="s">
        <v>74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83">
        <v>31131</v>
      </c>
      <c r="B12" s="84"/>
      <c r="C12" s="85"/>
      <c r="D12" s="26" t="s">
        <v>75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83">
        <v>31214</v>
      </c>
      <c r="B13" s="84"/>
      <c r="C13" s="85"/>
      <c r="D13" s="26" t="s">
        <v>76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83">
        <v>31219</v>
      </c>
      <c r="B14" s="84"/>
      <c r="C14" s="85"/>
      <c r="D14" s="26" t="s">
        <v>145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83">
        <v>31321</v>
      </c>
      <c r="B15" s="84"/>
      <c r="C15" s="85"/>
      <c r="D15" s="26" t="s">
        <v>77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2">
        <v>32</v>
      </c>
      <c r="B16" s="81"/>
      <c r="C16" s="82"/>
      <c r="D16" s="26" t="s">
        <v>25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86">
        <v>32361</v>
      </c>
      <c r="B17" s="84"/>
      <c r="C17" s="87"/>
      <c r="D17" s="58" t="s">
        <v>78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86">
        <v>32911</v>
      </c>
      <c r="B18" s="84"/>
      <c r="C18" s="88"/>
      <c r="D18" s="58" t="s">
        <v>79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86">
        <v>32955</v>
      </c>
      <c r="B19" s="84"/>
      <c r="C19" s="88"/>
      <c r="D19" s="58" t="s">
        <v>80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246" t="s">
        <v>60</v>
      </c>
      <c r="B20" s="247"/>
      <c r="C20" s="248"/>
      <c r="D20" s="59" t="s">
        <v>28</v>
      </c>
      <c r="E20" s="45">
        <v>334.46147720485766</v>
      </c>
      <c r="F20" s="46">
        <v>2123.5649346340169</v>
      </c>
      <c r="G20" s="46">
        <v>2123.5649346340169</v>
      </c>
      <c r="H20" s="46">
        <f>(H21)</f>
        <v>2123.5649346340169</v>
      </c>
      <c r="I20" s="46">
        <f>(I21)</f>
        <v>2123.5649346340169</v>
      </c>
    </row>
    <row r="21" spans="1:9" x14ac:dyDescent="0.25">
      <c r="A21" s="72">
        <v>3</v>
      </c>
      <c r="B21" s="73"/>
      <c r="C21" s="26"/>
      <c r="D21" s="26" t="s">
        <v>14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2">
        <v>32</v>
      </c>
      <c r="B22" s="73"/>
      <c r="C22" s="26"/>
      <c r="D22" s="26" t="s">
        <v>25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83">
        <v>32132</v>
      </c>
      <c r="B23" s="42"/>
      <c r="C23" s="43"/>
      <c r="D23" s="26" t="s">
        <v>84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83">
        <v>32212</v>
      </c>
      <c r="B24" s="42"/>
      <c r="C24" s="43"/>
      <c r="D24" s="26" t="s">
        <v>83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83">
        <v>32271</v>
      </c>
      <c r="B25" s="42"/>
      <c r="C25" s="43"/>
      <c r="D25" s="26" t="s">
        <v>85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246" t="s">
        <v>61</v>
      </c>
      <c r="B26" s="247"/>
      <c r="C26" s="248"/>
      <c r="D26" s="59" t="s">
        <v>41</v>
      </c>
      <c r="E26" s="45">
        <f>(E27+E34+E107)</f>
        <v>570109.5892229079</v>
      </c>
      <c r="F26" s="45">
        <f>(F27+F34+F107)</f>
        <v>611653.06257880409</v>
      </c>
      <c r="G26" s="46">
        <v>612648.48364191386</v>
      </c>
      <c r="H26" s="46">
        <f>(H27+H34+H107)</f>
        <v>672904.64077111939</v>
      </c>
      <c r="I26" s="46">
        <f>(I27+I34+I107)</f>
        <v>667728.44913398358</v>
      </c>
    </row>
    <row r="27" spans="1:9" ht="15" customHeight="1" x14ac:dyDescent="0.25">
      <c r="A27" s="44">
        <v>922</v>
      </c>
      <c r="B27" s="78"/>
      <c r="C27" s="79"/>
      <c r="D27" s="40" t="s">
        <v>66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89">
        <v>31111</v>
      </c>
      <c r="B28" s="76"/>
      <c r="C28" s="77"/>
      <c r="D28" s="26" t="s">
        <v>74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0">
        <v>32216</v>
      </c>
      <c r="B29" s="76"/>
      <c r="C29" s="77"/>
      <c r="D29" s="58" t="s">
        <v>94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0">
        <v>32224</v>
      </c>
      <c r="B30" s="76"/>
      <c r="C30" s="77"/>
      <c r="D30" s="58" t="s">
        <v>96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0">
        <v>32231</v>
      </c>
      <c r="B31" s="76"/>
      <c r="C31" s="77"/>
      <c r="D31" s="58" t="s">
        <v>97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0">
        <v>32234</v>
      </c>
      <c r="B32" s="76"/>
      <c r="C32" s="77"/>
      <c r="D32" s="58" t="s">
        <v>99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0">
        <v>32239</v>
      </c>
      <c r="B33" s="76"/>
      <c r="C33" s="77"/>
      <c r="D33" s="58" t="s">
        <v>113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2">
        <v>3</v>
      </c>
      <c r="B34" s="76"/>
      <c r="C34" s="77"/>
      <c r="D34" s="26" t="s">
        <v>14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2">
        <v>31</v>
      </c>
      <c r="B35" s="76"/>
      <c r="C35" s="77"/>
      <c r="D35" s="26" t="s">
        <v>15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89">
        <v>31111</v>
      </c>
      <c r="B36" s="76"/>
      <c r="C36" s="77"/>
      <c r="D36" s="26" t="s">
        <v>74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89">
        <v>31113</v>
      </c>
      <c r="B37" s="76"/>
      <c r="C37" s="77"/>
      <c r="D37" s="26" t="s">
        <v>146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89">
        <v>31131</v>
      </c>
      <c r="B38" s="76"/>
      <c r="C38" s="77"/>
      <c r="D38" s="26" t="s">
        <v>75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89">
        <v>31212</v>
      </c>
      <c r="B39" s="76"/>
      <c r="C39" s="77"/>
      <c r="D39" s="58" t="s">
        <v>86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89">
        <v>31213</v>
      </c>
      <c r="B40" s="76"/>
      <c r="C40" s="77"/>
      <c r="D40" s="58" t="s">
        <v>87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89">
        <v>31214</v>
      </c>
      <c r="B41" s="76"/>
      <c r="C41" s="77"/>
      <c r="D41" s="58" t="s">
        <v>76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89">
        <v>31215</v>
      </c>
      <c r="B42" s="76"/>
      <c r="C42" s="77"/>
      <c r="D42" s="60" t="s">
        <v>89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89">
        <v>31216</v>
      </c>
      <c r="B43" s="76"/>
      <c r="C43" s="77"/>
      <c r="D43" s="58" t="s">
        <v>88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89">
        <v>31219</v>
      </c>
      <c r="B44" s="76"/>
      <c r="C44" s="77"/>
      <c r="D44" s="26" t="s">
        <v>145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75">
        <v>32</v>
      </c>
      <c r="B45" s="76"/>
      <c r="C45" s="77"/>
      <c r="D45" s="26" t="s">
        <v>25</v>
      </c>
      <c r="E45" s="9">
        <f>(SUM(E46:E101))</f>
        <v>321179.88453115668</v>
      </c>
      <c r="F45" s="46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0">
        <v>32111</v>
      </c>
      <c r="B46" s="76"/>
      <c r="C46" s="77"/>
      <c r="D46" s="58" t="s">
        <v>90</v>
      </c>
      <c r="E46" s="61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0">
        <v>32113</v>
      </c>
      <c r="B47" s="76"/>
      <c r="C47" s="77"/>
      <c r="D47" s="62" t="s">
        <v>112</v>
      </c>
      <c r="E47" s="61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0">
        <v>32115</v>
      </c>
      <c r="B48" s="76"/>
      <c r="C48" s="77"/>
      <c r="D48" s="60" t="s">
        <v>114</v>
      </c>
      <c r="E48" s="61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0">
        <v>32121</v>
      </c>
      <c r="B49" s="76"/>
      <c r="C49" s="77"/>
      <c r="D49" s="60" t="s">
        <v>115</v>
      </c>
      <c r="E49" s="61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0">
        <v>32131</v>
      </c>
      <c r="B50" s="76"/>
      <c r="C50" s="77"/>
      <c r="D50" s="58" t="s">
        <v>91</v>
      </c>
      <c r="E50" s="61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0">
        <v>32132</v>
      </c>
      <c r="B51" s="76"/>
      <c r="C51" s="77"/>
      <c r="D51" s="58" t="s">
        <v>84</v>
      </c>
      <c r="E51" s="61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0">
        <v>32141</v>
      </c>
      <c r="B52" s="76"/>
      <c r="C52" s="77"/>
      <c r="D52" s="58" t="s">
        <v>116</v>
      </c>
      <c r="E52" s="61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0">
        <v>32211</v>
      </c>
      <c r="B53" s="76"/>
      <c r="C53" s="77"/>
      <c r="D53" s="58" t="s">
        <v>92</v>
      </c>
      <c r="E53" s="61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0">
        <v>32212</v>
      </c>
      <c r="B54" s="76"/>
      <c r="C54" s="77"/>
      <c r="D54" s="58" t="s">
        <v>82</v>
      </c>
      <c r="E54" s="61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0">
        <v>32214</v>
      </c>
      <c r="B55" s="76"/>
      <c r="C55" s="77"/>
      <c r="D55" s="58" t="s">
        <v>93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0">
        <v>32216</v>
      </c>
      <c r="B56" s="76"/>
      <c r="C56" s="77"/>
      <c r="D56" s="58" t="s">
        <v>94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0">
        <v>32219</v>
      </c>
      <c r="B57" s="76"/>
      <c r="C57" s="77"/>
      <c r="D57" s="58" t="s">
        <v>95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0">
        <v>32224</v>
      </c>
      <c r="B58" s="76"/>
      <c r="C58" s="77"/>
      <c r="D58" s="58" t="s">
        <v>96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0">
        <v>32231</v>
      </c>
      <c r="B59" s="76"/>
      <c r="C59" s="77"/>
      <c r="D59" s="58" t="s">
        <v>97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0">
        <v>32233</v>
      </c>
      <c r="B60" s="76"/>
      <c r="C60" s="77"/>
      <c r="D60" s="58" t="s">
        <v>98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0">
        <v>32234</v>
      </c>
      <c r="B61" s="76"/>
      <c r="C61" s="77"/>
      <c r="D61" s="58" t="s">
        <v>99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0">
        <v>32239</v>
      </c>
      <c r="B62" s="76"/>
      <c r="C62" s="77"/>
      <c r="D62" s="58" t="s">
        <v>113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0">
        <v>32241</v>
      </c>
      <c r="B63" s="76"/>
      <c r="C63" s="77"/>
      <c r="D63" s="58" t="s">
        <v>100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0">
        <v>32242</v>
      </c>
      <c r="B64" s="76"/>
      <c r="C64" s="77"/>
      <c r="D64" s="58" t="s">
        <v>101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0">
        <v>32243</v>
      </c>
      <c r="B65" s="76"/>
      <c r="C65" s="77"/>
      <c r="D65" s="58" t="s">
        <v>102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0">
        <v>32251</v>
      </c>
      <c r="B66" s="76"/>
      <c r="C66" s="77"/>
      <c r="D66" s="58" t="s">
        <v>103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0">
        <v>32252</v>
      </c>
      <c r="B67" s="76"/>
      <c r="C67" s="77"/>
      <c r="D67" s="58" t="s">
        <v>104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0">
        <v>32271</v>
      </c>
      <c r="B68" s="76"/>
      <c r="C68" s="77"/>
      <c r="D68" s="58" t="s">
        <v>105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0">
        <v>32311</v>
      </c>
      <c r="B69" s="76"/>
      <c r="C69" s="77"/>
      <c r="D69" s="58" t="s">
        <v>106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0">
        <v>32312</v>
      </c>
      <c r="B70" s="76"/>
      <c r="C70" s="77"/>
      <c r="D70" s="58" t="s">
        <v>107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0">
        <v>32313</v>
      </c>
      <c r="B71" s="76"/>
      <c r="C71" s="77"/>
      <c r="D71" s="58" t="s">
        <v>108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0">
        <v>32321</v>
      </c>
      <c r="B72" s="76"/>
      <c r="C72" s="77"/>
      <c r="D72" s="58" t="s">
        <v>109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0">
        <v>32322</v>
      </c>
      <c r="B73" s="76"/>
      <c r="C73" s="77"/>
      <c r="D73" s="58" t="s">
        <v>110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0">
        <v>32323</v>
      </c>
      <c r="B74" s="76"/>
      <c r="C74" s="77"/>
      <c r="D74" s="58" t="s">
        <v>111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0">
        <v>32341</v>
      </c>
      <c r="B75" s="76"/>
      <c r="C75" s="77"/>
      <c r="D75" s="58" t="s">
        <v>117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0">
        <v>32342</v>
      </c>
      <c r="B76" s="76"/>
      <c r="C76" s="77"/>
      <c r="D76" s="58" t="s">
        <v>118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0">
        <v>32343</v>
      </c>
      <c r="B77" s="76"/>
      <c r="C77" s="77"/>
      <c r="D77" s="58" t="s">
        <v>119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0">
        <v>32344</v>
      </c>
      <c r="B78" s="76"/>
      <c r="C78" s="77"/>
      <c r="D78" s="58" t="s">
        <v>120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0">
        <v>32355</v>
      </c>
      <c r="B79" s="76"/>
      <c r="C79" s="77"/>
      <c r="D79" s="58" t="s">
        <v>121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0">
        <v>32359</v>
      </c>
      <c r="B80" s="76"/>
      <c r="C80" s="77"/>
      <c r="D80" s="58" t="s">
        <v>122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0">
        <v>32361</v>
      </c>
      <c r="B81" s="76"/>
      <c r="C81" s="77"/>
      <c r="D81" s="58" t="s">
        <v>78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0">
        <v>32363</v>
      </c>
      <c r="B82" s="76"/>
      <c r="C82" s="77"/>
      <c r="D82" s="58" t="s">
        <v>123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0">
        <v>32372</v>
      </c>
      <c r="B83" s="76"/>
      <c r="C83" s="77"/>
      <c r="D83" s="58" t="s">
        <v>124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0">
        <v>32373</v>
      </c>
      <c r="B84" s="76"/>
      <c r="C84" s="77"/>
      <c r="D84" s="58" t="s">
        <v>125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0">
        <v>32379</v>
      </c>
      <c r="B85" s="76"/>
      <c r="C85" s="77"/>
      <c r="D85" s="58" t="s">
        <v>126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0">
        <v>32381</v>
      </c>
      <c r="B86" s="76"/>
      <c r="C86" s="77"/>
      <c r="D86" s="58" t="s">
        <v>127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0">
        <v>32389</v>
      </c>
      <c r="B87" s="76"/>
      <c r="C87" s="77"/>
      <c r="D87" s="58" t="s">
        <v>128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0">
        <v>32391</v>
      </c>
      <c r="B88" s="76"/>
      <c r="C88" s="77"/>
      <c r="D88" s="58" t="s">
        <v>147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0">
        <v>32392</v>
      </c>
      <c r="B89" s="76"/>
      <c r="C89" s="77"/>
      <c r="D89" s="58" t="s">
        <v>129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0">
        <v>32394</v>
      </c>
      <c r="B90" s="76"/>
      <c r="C90" s="77"/>
      <c r="D90" s="58" t="s">
        <v>130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0">
        <v>32396</v>
      </c>
      <c r="B91" s="76"/>
      <c r="C91" s="77"/>
      <c r="D91" s="58" t="s">
        <v>131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0">
        <v>32399</v>
      </c>
      <c r="B92" s="76"/>
      <c r="C92" s="77"/>
      <c r="D92" s="58" t="s">
        <v>132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0">
        <v>32911</v>
      </c>
      <c r="B93" s="76"/>
      <c r="C93" s="77"/>
      <c r="D93" s="58" t="s">
        <v>79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0">
        <v>32921</v>
      </c>
      <c r="B94" s="76"/>
      <c r="C94" s="77"/>
      <c r="D94" s="58" t="s">
        <v>134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0">
        <v>32922</v>
      </c>
      <c r="B95" s="76"/>
      <c r="C95" s="77"/>
      <c r="D95" s="58" t="s">
        <v>135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0">
        <v>32923</v>
      </c>
      <c r="B96" s="76"/>
      <c r="C96" s="77"/>
      <c r="D96" s="58" t="s">
        <v>136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0">
        <v>32952</v>
      </c>
      <c r="B97" s="76"/>
      <c r="C97" s="77"/>
      <c r="D97" s="58" t="s">
        <v>148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0">
        <v>32953</v>
      </c>
      <c r="B98" s="76"/>
      <c r="C98" s="77"/>
      <c r="D98" s="58" t="s">
        <v>137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0">
        <v>32959</v>
      </c>
      <c r="B99" s="76"/>
      <c r="C99" s="77"/>
      <c r="D99" s="58" t="s">
        <v>138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0">
        <v>32961</v>
      </c>
      <c r="B100" s="76"/>
      <c r="C100" s="77"/>
      <c r="D100" s="58" t="s">
        <v>149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0">
        <v>32999</v>
      </c>
      <c r="B101" s="76"/>
      <c r="C101" s="77"/>
      <c r="D101" s="58" t="s">
        <v>133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75">
        <v>34</v>
      </c>
      <c r="B102" s="76"/>
      <c r="C102" s="77"/>
      <c r="D102" s="26" t="s">
        <v>45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89">
        <v>34312</v>
      </c>
      <c r="B103" s="76"/>
      <c r="C103" s="77"/>
      <c r="D103" s="58" t="s">
        <v>139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89">
        <v>34332</v>
      </c>
      <c r="B104" s="76"/>
      <c r="C104" s="77"/>
      <c r="D104" s="58" t="s">
        <v>140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89">
        <v>34333</v>
      </c>
      <c r="B105" s="76"/>
      <c r="C105" s="77"/>
      <c r="D105" s="58" t="s">
        <v>142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89">
        <v>34339</v>
      </c>
      <c r="B106" s="76"/>
      <c r="C106" s="77"/>
      <c r="D106" s="58" t="s">
        <v>141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2">
        <v>4</v>
      </c>
      <c r="B107" s="76"/>
      <c r="C107" s="77"/>
      <c r="D107" s="26" t="s">
        <v>16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2">
        <v>42</v>
      </c>
      <c r="B108" s="76"/>
      <c r="C108" s="77"/>
      <c r="D108" s="26" t="s">
        <v>38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89">
        <v>42273</v>
      </c>
      <c r="B109" s="76"/>
      <c r="C109" s="77"/>
      <c r="D109" s="26" t="s">
        <v>143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246" t="s">
        <v>62</v>
      </c>
      <c r="B110" s="247"/>
      <c r="C110" s="248"/>
      <c r="D110" s="59" t="s">
        <v>65</v>
      </c>
      <c r="E110" s="45">
        <v>4005.5743579534142</v>
      </c>
      <c r="F110" s="46">
        <v>5906.1649744508586</v>
      </c>
      <c r="G110" s="46">
        <v>5906.1649744508586</v>
      </c>
      <c r="H110" s="46">
        <f>(H111)</f>
        <v>5906.1649744508595</v>
      </c>
      <c r="I110" s="74">
        <f>(I111)</f>
        <v>5906.1649744508595</v>
      </c>
    </row>
    <row r="111" spans="1:9" x14ac:dyDescent="0.25">
      <c r="A111" s="72">
        <v>3</v>
      </c>
      <c r="B111" s="73"/>
      <c r="C111" s="77"/>
      <c r="D111" s="26" t="s">
        <v>14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2">
        <v>32</v>
      </c>
      <c r="B112" s="73"/>
      <c r="C112" s="77"/>
      <c r="D112" s="26" t="s">
        <v>25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86">
        <v>32131</v>
      </c>
      <c r="B113" s="42"/>
      <c r="C113" s="43"/>
      <c r="D113" s="58" t="s">
        <v>91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86">
        <v>32211</v>
      </c>
      <c r="B114" s="42"/>
      <c r="C114" s="43"/>
      <c r="D114" s="58" t="s">
        <v>92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86">
        <v>32212</v>
      </c>
      <c r="B115" s="42"/>
      <c r="C115" s="43"/>
      <c r="D115" s="26" t="s">
        <v>83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246" t="s">
        <v>63</v>
      </c>
      <c r="B116" s="247"/>
      <c r="C116" s="248"/>
      <c r="D116" s="59" t="s">
        <v>43</v>
      </c>
      <c r="E116" s="45">
        <f>(E117)</f>
        <v>714.18143207910271</v>
      </c>
      <c r="F116" s="46">
        <v>132.72280841462606</v>
      </c>
      <c r="G116" s="46">
        <v>132.72280841462606</v>
      </c>
      <c r="H116" s="46">
        <f t="shared" ref="H116:I118" si="0">(H117)</f>
        <v>132.72280841462606</v>
      </c>
      <c r="I116" s="46">
        <f t="shared" si="0"/>
        <v>132.72280841462606</v>
      </c>
    </row>
    <row r="117" spans="1:9" x14ac:dyDescent="0.25">
      <c r="A117" s="237">
        <v>3</v>
      </c>
      <c r="B117" s="238"/>
      <c r="C117" s="239"/>
      <c r="D117" s="26" t="s">
        <v>14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237">
        <v>32</v>
      </c>
      <c r="B118" s="238"/>
      <c r="C118" s="239"/>
      <c r="D118" s="26" t="s">
        <v>25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1">
        <v>32251</v>
      </c>
      <c r="B119" s="84"/>
      <c r="C119" s="85"/>
      <c r="D119" s="58" t="s">
        <v>103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1">
        <v>38</v>
      </c>
      <c r="B120" s="84"/>
      <c r="C120" s="85"/>
      <c r="D120" s="26" t="s">
        <v>47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83">
        <v>38129</v>
      </c>
      <c r="B121" s="84"/>
      <c r="C121" s="85"/>
      <c r="D121" s="26" t="s">
        <v>144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246" t="s">
        <v>64</v>
      </c>
      <c r="B122" s="247"/>
      <c r="C122" s="248"/>
      <c r="D122" s="26" t="s">
        <v>44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237">
        <v>4</v>
      </c>
      <c r="B123" s="238"/>
      <c r="C123" s="239"/>
      <c r="D123" s="26" t="s">
        <v>16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237">
        <v>42</v>
      </c>
      <c r="B124" s="238"/>
      <c r="C124" s="239"/>
      <c r="D124" s="26" t="s">
        <v>38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0">
        <v>42273</v>
      </c>
      <c r="B125" s="81"/>
      <c r="C125" s="82"/>
      <c r="D125" s="26" t="s">
        <v>143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227" t="s">
        <v>57</v>
      </c>
      <c r="B126" s="228"/>
      <c r="C126" s="229"/>
      <c r="D126" s="27" t="s">
        <v>58</v>
      </c>
      <c r="E126" s="45">
        <f>(E132+E127)</f>
        <v>30273.053288207579</v>
      </c>
      <c r="F126" s="45">
        <f>(F132+F127)</f>
        <v>36697.8565266441</v>
      </c>
      <c r="G126" s="46">
        <v>43732.165372619282</v>
      </c>
      <c r="H126" s="46">
        <f>(H127+H132)</f>
        <v>43732.165372619282</v>
      </c>
      <c r="I126" s="46">
        <f>(I127+I132)</f>
        <v>43732.165372619282</v>
      </c>
    </row>
    <row r="127" spans="1:9" x14ac:dyDescent="0.25">
      <c r="A127" s="246" t="s">
        <v>62</v>
      </c>
      <c r="B127" s="247"/>
      <c r="C127" s="248"/>
      <c r="D127" s="59" t="s">
        <v>65</v>
      </c>
      <c r="E127" s="45">
        <f>(E129)</f>
        <v>6590.9987391333198</v>
      </c>
      <c r="F127" s="46">
        <v>7631.5614838409974</v>
      </c>
      <c r="G127" s="46">
        <v>7631.5614838409974</v>
      </c>
      <c r="H127" s="46">
        <f>(H128)</f>
        <v>7631.5614838409974</v>
      </c>
      <c r="I127" s="46">
        <f>(I128)</f>
        <v>7631.5614838409974</v>
      </c>
    </row>
    <row r="128" spans="1:9" x14ac:dyDescent="0.25">
      <c r="A128" s="237">
        <v>3</v>
      </c>
      <c r="B128" s="238"/>
      <c r="C128" s="239"/>
      <c r="D128" s="26" t="s">
        <v>14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237">
        <v>32</v>
      </c>
      <c r="B129" s="238"/>
      <c r="C129" s="239"/>
      <c r="D129" s="26" t="s">
        <v>25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1">
        <v>32131</v>
      </c>
      <c r="B130" s="84"/>
      <c r="C130" s="85"/>
      <c r="D130" s="58" t="s">
        <v>91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1">
        <v>32211</v>
      </c>
      <c r="B131" s="84"/>
      <c r="C131" s="85"/>
      <c r="D131" s="58" t="s">
        <v>92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246" t="s">
        <v>56</v>
      </c>
      <c r="B132" s="247"/>
      <c r="C132" s="248"/>
      <c r="D132" s="59" t="s">
        <v>11</v>
      </c>
      <c r="E132" s="45">
        <f>(E134)</f>
        <v>23682.054549074259</v>
      </c>
      <c r="F132" s="46">
        <v>29066.295042803104</v>
      </c>
      <c r="G132" s="46">
        <v>36100.603888778285</v>
      </c>
      <c r="H132" s="46">
        <f>(H133)</f>
        <v>36100.603888778285</v>
      </c>
      <c r="I132" s="46">
        <f>(I133)</f>
        <v>36100.603888778285</v>
      </c>
    </row>
    <row r="133" spans="1:9" x14ac:dyDescent="0.25">
      <c r="A133" s="237">
        <v>3</v>
      </c>
      <c r="B133" s="238"/>
      <c r="C133" s="239"/>
      <c r="D133" s="26" t="s">
        <v>14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237">
        <v>37</v>
      </c>
      <c r="B134" s="238"/>
      <c r="C134" s="239"/>
      <c r="D134" s="26" t="s">
        <v>59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251">
        <v>37213</v>
      </c>
      <c r="B135" s="252"/>
      <c r="C135" s="253"/>
      <c r="D135" s="57" t="s">
        <v>81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93" t="s">
        <v>160</v>
      </c>
      <c r="B136" s="93"/>
      <c r="C136" s="93"/>
      <c r="D136" s="93"/>
      <c r="E136" s="93"/>
      <c r="H136" s="56"/>
      <c r="I136" s="56"/>
    </row>
    <row r="137" spans="1:9" x14ac:dyDescent="0.25">
      <c r="H137" s="56"/>
      <c r="I137" s="56"/>
    </row>
    <row r="138" spans="1:9" x14ac:dyDescent="0.25">
      <c r="A138" t="s">
        <v>152</v>
      </c>
    </row>
    <row r="139" spans="1:9" x14ac:dyDescent="0.25">
      <c r="A139" t="s">
        <v>153</v>
      </c>
    </row>
    <row r="140" spans="1:9" x14ac:dyDescent="0.25">
      <c r="A140" t="s">
        <v>156</v>
      </c>
      <c r="H140" t="s">
        <v>154</v>
      </c>
    </row>
    <row r="141" spans="1:9" x14ac:dyDescent="0.25">
      <c r="H141" t="s">
        <v>155</v>
      </c>
    </row>
  </sheetData>
  <mergeCells count="25">
    <mergeCell ref="A135:C135"/>
    <mergeCell ref="A128:C128"/>
    <mergeCell ref="A129:C129"/>
    <mergeCell ref="A132:C132"/>
    <mergeCell ref="A133:C133"/>
    <mergeCell ref="A134:C13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8:C8"/>
    <mergeCell ref="A1:I1"/>
    <mergeCell ref="A3:I3"/>
    <mergeCell ref="A5:C5"/>
    <mergeCell ref="A6:C6"/>
    <mergeCell ref="A7:C7"/>
    <mergeCell ref="A4:C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16" sqref="O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DIO-2.raz.za UV</vt:lpstr>
      <vt:lpstr>POSEBNI DIO-5.razina</vt:lpstr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2</cp:lastModifiedBy>
  <cp:lastPrinted>2023-12-11T14:34:34Z</cp:lastPrinted>
  <dcterms:created xsi:type="dcterms:W3CDTF">2022-08-12T12:51:27Z</dcterms:created>
  <dcterms:modified xsi:type="dcterms:W3CDTF">2023-12-11T14:37:48Z</dcterms:modified>
</cp:coreProperties>
</file>