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CFB8C2B4-8B4D-47A0-A0B4-4EC67CFCC45E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SAŽETAK" sheetId="1" r:id="rId1"/>
    <sheet name=" Račun prihoda i rashoda" sheetId="3" r:id="rId2"/>
    <sheet name="Prihodi i rashodi po izvorima" sheetId="9" r:id="rId3"/>
    <sheet name="Rashodi prema funkcijskoj kl" sheetId="5" r:id="rId4"/>
    <sheet name="Račun financiranja" sheetId="6" r:id="rId5"/>
    <sheet name="Račun financiranja po izvorima" sheetId="11" r:id="rId6"/>
    <sheet name="POSEBNI DIO-2.raz.za UV" sheetId="7" r:id="rId7"/>
    <sheet name="POSEBNI DIO-5.razina" sheetId="8" state="hidden" r:id="rId8"/>
    <sheet name="List 1" sheetId="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H15" i="7"/>
  <c r="I16" i="7"/>
  <c r="H7" i="7"/>
  <c r="H12" i="7"/>
  <c r="H13" i="7"/>
  <c r="H14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6" i="7"/>
  <c r="H37" i="7"/>
  <c r="H38" i="7"/>
  <c r="H39" i="7"/>
  <c r="H41" i="7"/>
  <c r="H42" i="7"/>
  <c r="H43" i="7"/>
  <c r="H44" i="7"/>
  <c r="H45" i="7"/>
  <c r="H46" i="7"/>
  <c r="H6" i="7"/>
  <c r="I35" i="7"/>
  <c r="H35" i="7" s="1"/>
  <c r="I10" i="7"/>
  <c r="E15" i="5"/>
  <c r="E12" i="5"/>
  <c r="E11" i="5"/>
  <c r="F14" i="5"/>
  <c r="E14" i="5" s="1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F10" i="9"/>
  <c r="E10" i="9" s="1"/>
  <c r="H40" i="3"/>
  <c r="H42" i="3"/>
  <c r="H44" i="3"/>
  <c r="H63" i="3"/>
  <c r="H65" i="3"/>
  <c r="H66" i="3"/>
  <c r="H70" i="3"/>
  <c r="I43" i="3"/>
  <c r="I67" i="3" s="1"/>
  <c r="H18" i="3"/>
  <c r="H17" i="3"/>
  <c r="H15" i="3"/>
  <c r="H14" i="3"/>
  <c r="H13" i="3"/>
  <c r="H11" i="3"/>
  <c r="H10" i="3"/>
  <c r="J27" i="1"/>
  <c r="I13" i="1"/>
  <c r="I11" i="1"/>
  <c r="I9" i="1"/>
  <c r="J12" i="1"/>
  <c r="J8" i="1"/>
  <c r="I8" i="1" s="1"/>
  <c r="G14" i="1" l="1"/>
  <c r="G12" i="1"/>
  <c r="I19" i="3" l="1"/>
  <c r="I69" i="3" s="1"/>
  <c r="H19" i="3"/>
  <c r="G40" i="7"/>
  <c r="H40" i="7" s="1"/>
  <c r="G17" i="7"/>
  <c r="G16" i="7"/>
  <c r="G8" i="7"/>
  <c r="H8" i="7" s="1"/>
  <c r="G11" i="7"/>
  <c r="H11" i="7" s="1"/>
  <c r="G10" i="7"/>
  <c r="H10" i="7" s="1"/>
  <c r="D13" i="5"/>
  <c r="E13" i="5" s="1"/>
  <c r="G16" i="3"/>
  <c r="H16" i="3" s="1"/>
  <c r="G12" i="3"/>
  <c r="H12" i="3" s="1"/>
  <c r="G43" i="3"/>
  <c r="G41" i="3"/>
  <c r="H41" i="3" s="1"/>
  <c r="H14" i="1"/>
  <c r="I14" i="1" s="1"/>
  <c r="H12" i="1"/>
  <c r="I12" i="1" s="1"/>
  <c r="G18" i="7" l="1"/>
  <c r="H16" i="7"/>
  <c r="G67" i="3"/>
  <c r="H67" i="3" s="1"/>
  <c r="H43" i="3"/>
  <c r="G19" i="3"/>
  <c r="G9" i="7"/>
  <c r="H9" i="7" s="1"/>
  <c r="E17" i="7"/>
  <c r="E22" i="7"/>
  <c r="E41" i="7"/>
  <c r="E40" i="7" s="1"/>
  <c r="E46" i="7"/>
  <c r="E30" i="7"/>
  <c r="E19" i="7"/>
  <c r="E12" i="7"/>
  <c r="E11" i="7"/>
  <c r="E10" i="7"/>
  <c r="E8" i="7"/>
  <c r="E7" i="7"/>
  <c r="E6" i="7"/>
  <c r="B15" i="5"/>
  <c r="B13" i="5" s="1"/>
  <c r="B23" i="9"/>
  <c r="B21" i="9"/>
  <c r="B17" i="9"/>
  <c r="B15" i="9"/>
  <c r="B13" i="9"/>
  <c r="B11" i="9"/>
  <c r="E65" i="3"/>
  <c r="E63" i="3"/>
  <c r="E44" i="3"/>
  <c r="E18" i="3"/>
  <c r="E15" i="3"/>
  <c r="E14" i="3"/>
  <c r="E13" i="3"/>
  <c r="F28" i="1"/>
  <c r="F27" i="1"/>
  <c r="F13" i="1"/>
  <c r="F12" i="1"/>
  <c r="F11" i="1"/>
  <c r="F10" i="1"/>
  <c r="F9" i="1"/>
  <c r="F8" i="1"/>
  <c r="F19" i="3"/>
  <c r="F67" i="3"/>
  <c r="I133" i="8"/>
  <c r="I132" i="8" s="1"/>
  <c r="I129" i="8"/>
  <c r="I128" i="8" s="1"/>
  <c r="I127" i="8" s="1"/>
  <c r="I118" i="8"/>
  <c r="I117" i="8"/>
  <c r="I116" i="8" s="1"/>
  <c r="I112" i="8"/>
  <c r="I111" i="8" s="1"/>
  <c r="I110" i="8" s="1"/>
  <c r="I108" i="8"/>
  <c r="I107" i="8" s="1"/>
  <c r="I102" i="8"/>
  <c r="I45" i="8"/>
  <c r="I39" i="8"/>
  <c r="I35" i="8"/>
  <c r="I22" i="8"/>
  <c r="I21" i="8" s="1"/>
  <c r="I20" i="8" s="1"/>
  <c r="I16" i="8"/>
  <c r="I10" i="8"/>
  <c r="I9" i="8"/>
  <c r="I8" i="8" s="1"/>
  <c r="H133" i="8"/>
  <c r="H132" i="8" s="1"/>
  <c r="H129" i="8"/>
  <c r="H128" i="8" s="1"/>
  <c r="H127" i="8" s="1"/>
  <c r="H118" i="8"/>
  <c r="H117" i="8" s="1"/>
  <c r="H116" i="8" s="1"/>
  <c r="H112" i="8"/>
  <c r="H111" i="8" s="1"/>
  <c r="H110" i="8" s="1"/>
  <c r="H108" i="8"/>
  <c r="H107" i="8" s="1"/>
  <c r="H102" i="8"/>
  <c r="H45" i="8"/>
  <c r="H35" i="8"/>
  <c r="H22" i="8"/>
  <c r="H21" i="8" s="1"/>
  <c r="H20" i="8" s="1"/>
  <c r="H16" i="8"/>
  <c r="H10" i="8"/>
  <c r="F126" i="8"/>
  <c r="F34" i="8"/>
  <c r="F26" i="8"/>
  <c r="F16" i="8"/>
  <c r="F10" i="8"/>
  <c r="E133" i="8"/>
  <c r="E132" i="8"/>
  <c r="E128" i="8"/>
  <c r="E127" i="8"/>
  <c r="E117" i="8"/>
  <c r="E116" i="8"/>
  <c r="E112" i="8"/>
  <c r="E102" i="8"/>
  <c r="E45" i="8"/>
  <c r="E35" i="8"/>
  <c r="E16" i="8"/>
  <c r="E10" i="8"/>
  <c r="G69" i="3" l="1"/>
  <c r="H69" i="3" s="1"/>
  <c r="E11" i="3"/>
  <c r="E19" i="3" s="1"/>
  <c r="I34" i="8"/>
  <c r="I26" i="8" s="1"/>
  <c r="I7" i="8" s="1"/>
  <c r="E41" i="3"/>
  <c r="E67" i="3" s="1"/>
  <c r="E69" i="3" s="1"/>
  <c r="E16" i="7"/>
  <c r="E15" i="7" s="1"/>
  <c r="F69" i="3"/>
  <c r="E34" i="8"/>
  <c r="E26" i="8" s="1"/>
  <c r="F9" i="8"/>
  <c r="F8" i="8" s="1"/>
  <c r="E9" i="8"/>
  <c r="E8" i="8" s="1"/>
  <c r="E126" i="8"/>
  <c r="H9" i="8"/>
  <c r="H8" i="8" s="1"/>
  <c r="I126" i="8"/>
  <c r="H126" i="8"/>
  <c r="H34" i="8"/>
  <c r="H26" i="8" s="1"/>
  <c r="F7" i="8"/>
  <c r="F6" i="8" s="1"/>
  <c r="E7" i="8" l="1"/>
  <c r="E6" i="8" s="1"/>
  <c r="H7" i="8"/>
  <c r="H6" i="8" s="1"/>
  <c r="I6" i="8"/>
</calcChain>
</file>

<file path=xl/sharedStrings.xml><?xml version="1.0" encoding="utf-8"?>
<sst xmlns="http://schemas.openxmlformats.org/spreadsheetml/2006/main" count="444" uniqueCount="222">
  <si>
    <t>PRIHODI UKUPNO</t>
  </si>
  <si>
    <t>RASHODI UKUPNO</t>
  </si>
  <si>
    <t>RAZLIKA - VIŠAK / MANJAK</t>
  </si>
  <si>
    <t>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</si>
  <si>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</si>
  <si>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</si>
  <si>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</si>
  <si>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</si>
  <si>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</si>
  <si>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</si>
  <si>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Prihodi poslovanja</t>
  </si>
  <si>
    <t>Opći prihodi i primici</t>
  </si>
  <si>
    <t>Prihodi od prodaje nefinancijske imovine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</si>
  <si>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</si>
  <si>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</si>
  <si>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</si>
  <si>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</si>
  <si>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</si>
  <si>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</si>
  <si>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</si>
  <si>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</si>
  <si>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</si>
  <si>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</si>
  <si>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</si>
  <si>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</si>
  <si>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</si>
  <si>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</si>
  <si>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</si>
  <si>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</si>
  <si>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</si>
  <si>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Plan za 2023.</t>
  </si>
  <si>
    <t>Projekcija 
za 2024.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</si>
  <si>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</si>
  <si>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</si>
  <si>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</si>
  <si>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</si>
  <si>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FINANCIJSKI PLAN PRORAČUNSKOG KORISNIKA JEDINICE LOKALNE I PODRUČNE (REGIONALNE) SAMOUPRAVE 
ZA 2023. I PROJEKCIJA ZA 2024. I 2025. GODINU</t>
  </si>
  <si>
    <t>Rashodi za nabavu proizvedene dugotrajne imovine</t>
  </si>
  <si>
    <t>Naziv</t>
  </si>
  <si>
    <t>Prihodi od imovine</t>
  </si>
  <si>
    <t>Prihodi za posebne namjene</t>
  </si>
  <si>
    <t>Prihodi od upravnih i administrativnih pristojbi, pristojbi po posebnim propisima i naknada</t>
  </si>
  <si>
    <t>Donacije</t>
  </si>
  <si>
    <t>Prihod od nefinancijske imovine</t>
  </si>
  <si>
    <t>Financijski rashodi</t>
  </si>
  <si>
    <t>Naknade građanima i kućanstvima i druge naknade</t>
  </si>
  <si>
    <t>Ostali rashodi</t>
  </si>
  <si>
    <t>09 Obrazovanje</t>
  </si>
  <si>
    <t>091 Predškolsko i osnovno obrazovanje</t>
  </si>
  <si>
    <t>096 Dodatne usluge u obrazovanju</t>
  </si>
  <si>
    <t>0911 Predškolsko obrazovanje</t>
  </si>
  <si>
    <t>PROGRAM 3004</t>
  </si>
  <si>
    <t>PREDŠKOLSKI ODGOJ</t>
  </si>
  <si>
    <t>Aktivnost A300401</t>
  </si>
  <si>
    <t>DJEČJI VRTIĆ I JASLICE</t>
  </si>
  <si>
    <t>Izvor financiranja 11</t>
  </si>
  <si>
    <t>Aktivnost A300404</t>
  </si>
  <si>
    <t>RAZVOJ INKLUZIVNOG PREDŠKOLSKOG MODELA</t>
  </si>
  <si>
    <t>Naknade građanima i kućanstvima na temelju osiguranja i druge naknade</t>
  </si>
  <si>
    <t>Izvor financiranja 32</t>
  </si>
  <si>
    <t>Izvor financiranja 49</t>
  </si>
  <si>
    <t>Izvor financiranja 59</t>
  </si>
  <si>
    <t>Izvor financiranja 69</t>
  </si>
  <si>
    <t>Izvor financiranja 79</t>
  </si>
  <si>
    <t>Pomoći - MZO</t>
  </si>
  <si>
    <t>Rezultat poslovanja</t>
  </si>
  <si>
    <t xml:space="preserve">Ukupni prihodi </t>
  </si>
  <si>
    <t>Ukupni rashodi</t>
  </si>
  <si>
    <t>Višak prihoda nad rashodima</t>
  </si>
  <si>
    <t>Manjak prihoda nad rashodima</t>
  </si>
  <si>
    <t xml:space="preserve">UKUPNI PRIHODI </t>
  </si>
  <si>
    <t xml:space="preserve">UKUPNI RASHODI </t>
  </si>
  <si>
    <t>Plaće za zaposlene</t>
  </si>
  <si>
    <t>Plaće za prekovremeni rad</t>
  </si>
  <si>
    <t>Otpremnine</t>
  </si>
  <si>
    <t>Doprinosi za obvezno zdravstveno osiguranje</t>
  </si>
  <si>
    <t>Obvezni i preventivni zdravstveni pregledi zaposlenika</t>
  </si>
  <si>
    <t>Naknade za rad članovima predstavničkih i izvršnih tijela i upravnih vijeća</t>
  </si>
  <si>
    <t>Novčana naknada poslod. zbog nezapošljavanja osoba s invaliditetom</t>
  </si>
  <si>
    <t>Pomoć osobama s invaliditetom</t>
  </si>
  <si>
    <t>Literatura (publikacije, časopisi, glasila, knjige i ostalo)</t>
  </si>
  <si>
    <t xml:space="preserve">Literatura </t>
  </si>
  <si>
    <t>Tečajevi i stručni ispiti</t>
  </si>
  <si>
    <t>Službena,radna i zaštitna odjeća</t>
  </si>
  <si>
    <t>Nagrade</t>
  </si>
  <si>
    <t>Darovi</t>
  </si>
  <si>
    <t>Regres za godišnji odmor</t>
  </si>
  <si>
    <t>Naknade za bolest, inv. i smrtni sluč.</t>
  </si>
  <si>
    <t>Dnevnice za službeni put u zemlji</t>
  </si>
  <si>
    <t>Seminari, savjetovanja i simpoziji</t>
  </si>
  <si>
    <t>Uredski materijal (+MATERIJAL ZA RAD U GRUPAMA)</t>
  </si>
  <si>
    <t>Materijal i sredstva za čišćenje i održavanje</t>
  </si>
  <si>
    <t>Materijal za higijenske potrebe i njegu</t>
  </si>
  <si>
    <t xml:space="preserve">Ostali materijal za potrebe redovnog poslovanja </t>
  </si>
  <si>
    <t>Namirnice</t>
  </si>
  <si>
    <t>Električna energija</t>
  </si>
  <si>
    <t>Plin</t>
  </si>
  <si>
    <t>Motorni benzin i dizel gorivo (LOŽ ULJE)</t>
  </si>
  <si>
    <t>Materijal i dijelovi za tekuće i investicijsko održ. građevinskih objekata</t>
  </si>
  <si>
    <t>Materijal i dijelovi za tekuće i investicijsko održ. postrojenja i opreme</t>
  </si>
  <si>
    <t>Materijal i dijelovi za tekuće i investicijsko održ. transportnih sredstava</t>
  </si>
  <si>
    <t>Sitni inventar</t>
  </si>
  <si>
    <t>Auto gume</t>
  </si>
  <si>
    <t>Službena, radna i zaštitna odjeća i obuća</t>
  </si>
  <si>
    <t>Usluge telefona, telefaksa</t>
  </si>
  <si>
    <t>Usluge interneta</t>
  </si>
  <si>
    <t>Poštarina (pisma, tiskanice i sl.)</t>
  </si>
  <si>
    <t>Usluge tekućeg i investicijskog održavanja građevinskih objekata</t>
  </si>
  <si>
    <t>Usluge tekućeg i investicijskog održavanja postrojenja i opreme</t>
  </si>
  <si>
    <t>Usluge tekućeg i investicijskog održavanja prijevoznih sredstava</t>
  </si>
  <si>
    <t>Nakn. za smještaj na sl. putu u zem.</t>
  </si>
  <si>
    <t>Ostali materijali za proizvodnju energije (ugljen, drva, teško ulje,PELETI)</t>
  </si>
  <si>
    <t>Nakn. za prijev. na služb. p u zemlji</t>
  </si>
  <si>
    <t>Naknade za prijev. na posao i s p.</t>
  </si>
  <si>
    <t>Nakn. za korištenje privat. aut. u sl. svrhe</t>
  </si>
  <si>
    <t>Opskrba vodom</t>
  </si>
  <si>
    <t>Iznošenje i odvoz smeća</t>
  </si>
  <si>
    <t>Deratizacija i dezinsekcija</t>
  </si>
  <si>
    <t>Dimnjačarske i ekološke usluge</t>
  </si>
  <si>
    <t>Zak. i najam. za prijev. sred. (oper.l)</t>
  </si>
  <si>
    <t>Ostale zakupnine i najamnine (najam fotokop. uređaja)</t>
  </si>
  <si>
    <t>Labaratorijske usluge</t>
  </si>
  <si>
    <t>Ugovori o djelu</t>
  </si>
  <si>
    <t>Usluge odvjetnika i pravnog savjetovanja</t>
  </si>
  <si>
    <t>Ostale intelektualne usluge</t>
  </si>
  <si>
    <t>Usluge ažuriranja računalnih baza</t>
  </si>
  <si>
    <t>Ostale računalne usluge</t>
  </si>
  <si>
    <t>Film i izrada fotografija</t>
  </si>
  <si>
    <t>Usluge pri registraciji prijevoznih sredstava</t>
  </si>
  <si>
    <t>Usluge čuvanja imovine i osoba</t>
  </si>
  <si>
    <t xml:space="preserve">Ostale nespomenute usluge </t>
  </si>
  <si>
    <t>Ostali nespomenuti rashodi poslovanja</t>
  </si>
  <si>
    <t>Premije osiguranja prijevoznih sredstava</t>
  </si>
  <si>
    <t>Premije osiguranja ostale imovine</t>
  </si>
  <si>
    <t xml:space="preserve">Premije osiguranja zaposlenih </t>
  </si>
  <si>
    <t>Javnobilježničke pristojbe</t>
  </si>
  <si>
    <t>Ostale pristojbe i naknade (pr. dipl.)</t>
  </si>
  <si>
    <t>Usluge platnog prometa</t>
  </si>
  <si>
    <t>Zatezne kamate na doprinose</t>
  </si>
  <si>
    <t>Ostale zatezne kamate</t>
  </si>
  <si>
    <t>Zatezne kamate iz posl. odnosa</t>
  </si>
  <si>
    <t>Oprema</t>
  </si>
  <si>
    <t>Ost. tek. donacije u naravi</t>
  </si>
  <si>
    <t>Ost. nenav. rash. za zaposlene</t>
  </si>
  <si>
    <t>Plaće po sudskim presudama</t>
  </si>
  <si>
    <t>Grafičke i tiskarske usluge</t>
  </si>
  <si>
    <t>Sudske pristojbe</t>
  </si>
  <si>
    <t>Troškovi sudskih postupaka</t>
  </si>
  <si>
    <t>Rashodi za nabavu nefinacijske imovine</t>
  </si>
  <si>
    <t xml:space="preserve">Ostali rashodi </t>
  </si>
  <si>
    <t>KLASA:</t>
  </si>
  <si>
    <t>URBROJ:</t>
  </si>
  <si>
    <t>Ravnateljica</t>
  </si>
  <si>
    <t>dr.sc. Jadranka Stojković</t>
  </si>
  <si>
    <t>Jastrebarsko, 30.09.2022.</t>
  </si>
  <si>
    <t>Za Grad i internu upotrebu</t>
  </si>
  <si>
    <t>Fiksni tečaj konverzije</t>
  </si>
  <si>
    <t>EUR</t>
  </si>
  <si>
    <t xml:space="preserve">2023.g.     2.268.896 EUR : 12 mj : 620 djece=304,96 EUR EKONOMSKA CIJENA PO DJETETU 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</si>
  <si>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</si>
  <si>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</si>
  <si>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</si>
  <si>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</si>
  <si>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</si>
  <si>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</si>
  <si>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VIŠAK/MANJAK + NETO FINANCIRANJE</t>
  </si>
  <si>
    <t>Izvršenje 2022.*</t>
  </si>
  <si>
    <t>Plan 2023.</t>
  </si>
  <si>
    <t xml:space="preserve">C) PRENESENI VIŠAK ILI PRENESENI MANJAK </t>
  </si>
  <si>
    <t>PRIJENOS VIŠKA / MANJKA IZ PRETHODNE(IH) GODINE</t>
  </si>
  <si>
    <t>PRIJENOS VIŠKA / MANJKA U SLJEDEĆE RAZDOBLJE</t>
  </si>
  <si>
    <t>VIŠAK / MANJAK+NETO FINACIRANJE+PRIJENOS VIŠKA/MANJKA IZ PRETHODNE(IH) GODINE-PRIJENOS VIŠKA/MANJKA U SLJEDEĆE RAZDOBLJE</t>
  </si>
  <si>
    <t>D) VIŠEGODIŠNJI PLAN URAVNOTEŽENJA</t>
  </si>
  <si>
    <t>VIŠAK/MANJAK IZ PRETHODNE(IH) GODINE KOJI ĆE SE RASPOREDITI/POKRITI</t>
  </si>
  <si>
    <t>VIŠAK/MANJAK TEKUĆE GODINE</t>
  </si>
  <si>
    <t>* Napomena: Iznosi u stupcima Izvršenje 2022.  preračunavaju se iz kuna u eure prema fiksnom tečaju konverzije (1 EUR=7,53450 kuna) i po pravilima za preračunavanje i zaokruživanje.</t>
  </si>
  <si>
    <t>PRIHODI POSLOVANJA PREMA EKONOMSKOJ KLASIFIKACIJI</t>
  </si>
  <si>
    <t>Izvršenje 2022.</t>
  </si>
  <si>
    <t>Plan za 2024.</t>
  </si>
  <si>
    <t>RASHODI POSLOVANJA PREMA EKONOMSKOJ KLASIFIKACIJI</t>
  </si>
  <si>
    <t>PRIHODI POSLOVANJA PREMA IZVORIMA FINANCIRANJA</t>
  </si>
  <si>
    <t>Brojčana oznaka i naziv</t>
  </si>
  <si>
    <t>1 Opći prihodi i primici</t>
  </si>
  <si>
    <t xml:space="preserve">  11 Opći prihodi i primici</t>
  </si>
  <si>
    <t>4 Prihodi za posebne namjene</t>
  </si>
  <si>
    <t>5 Pomoći</t>
  </si>
  <si>
    <t>RASHODI POSLOVANJA PREMA IZVORIMA FINANCIRANJA</t>
  </si>
  <si>
    <t>3 Vlastiti prihodi</t>
  </si>
  <si>
    <t>B. RAČUN FINANCIRANJA PREMA EKONOMSKOJ KLASIFIKACIJI</t>
  </si>
  <si>
    <t>PRIMICI UKUPNO</t>
  </si>
  <si>
    <t>IZDACI UKUPNO</t>
  </si>
  <si>
    <t>8 Namjenski primici od zaduživanja</t>
  </si>
  <si>
    <t>81 Namjenski primici od zaduživanja</t>
  </si>
  <si>
    <t>11 Opći prihodi i primici</t>
  </si>
  <si>
    <t>B. RAČUN FINANCIRANJA PREMA IZVORIMA FINACIRANJA</t>
  </si>
  <si>
    <t xml:space="preserve">  32 Vlastiti prihodi</t>
  </si>
  <si>
    <t>6 Donacije</t>
  </si>
  <si>
    <t>7 Prihodi od prodaje nef.imovine</t>
  </si>
  <si>
    <t xml:space="preserve"> 94 Prihodi za posebne namjene-višak</t>
  </si>
  <si>
    <t>Izvor financiranja 94</t>
  </si>
  <si>
    <t>Prihodi za posebne namjene-višak</t>
  </si>
  <si>
    <t>Fiksni tečaj konverzije 7,5345</t>
  </si>
  <si>
    <t xml:space="preserve">Fiksni tečaj konverzije </t>
  </si>
  <si>
    <t>Prihodi od prodaje proizvoda te pruženih usluga i prihodi od donacija</t>
  </si>
  <si>
    <t xml:space="preserve">9 Prijenos viška prihoda </t>
  </si>
  <si>
    <t>Izvor financiranja 70</t>
  </si>
  <si>
    <t xml:space="preserve"> 49 Prihodi za posebne namjene</t>
  </si>
  <si>
    <t xml:space="preserve">  59 Ostale pomoći</t>
  </si>
  <si>
    <t xml:space="preserve"> 69 Donacije</t>
  </si>
  <si>
    <t xml:space="preserve"> 70 Prihodi od nefinacijske imovine</t>
  </si>
  <si>
    <t xml:space="preserve"> 59 Pomoći</t>
  </si>
  <si>
    <t>32Vlastiti prihodi</t>
  </si>
  <si>
    <t>Prijedlog I. IZMJENA I DOPUNA FINANCIJSKOG PLANA DJEČJEG VRTIĆA RADOST
ZA 2024. GODINU</t>
  </si>
  <si>
    <t>Povećanje/smanjenje</t>
  </si>
  <si>
    <t>NOVI PLAN ZA 2024</t>
  </si>
  <si>
    <t>NOVI PLAN ZA 2024.</t>
  </si>
  <si>
    <t>Povećanje/Smanjenje</t>
  </si>
  <si>
    <t xml:space="preserve">URBROJ: </t>
  </si>
  <si>
    <t>Jastrebarsko, 14.05.2024.</t>
  </si>
  <si>
    <t>Rashodi financirani prenesenim viškom prihoda iz prethodnih godina</t>
  </si>
  <si>
    <t>400-01/2024-01/01</t>
  </si>
  <si>
    <t>238-12-66-04-24-01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</si>
</sst>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5" borderId="0" applyNumberFormat="0" applyBorder="0" applyAlignment="0" applyProtection="0"/>
  </cellStyleXfs>
  <cellXfs count="257">
    <xf numFmtId="0" fontId="0" fillId="0" borderId="0" xfId="0"/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15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5" fillId="2" borderId="1" xfId="0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1" fillId="0" borderId="0" xfId="0" applyFont="1"/>
    <xf numFmtId="0" fontId="17" fillId="2" borderId="3" xfId="0" applyFont="1" applyFill="1" applyBorder="1" applyAlignment="1">
      <alignment horizontal="left" vertical="center" wrapText="1"/>
    </xf>
    <xf numFmtId="3" fontId="18" fillId="2" borderId="3" xfId="0" applyNumberFormat="1" applyFont="1" applyFill="1" applyBorder="1" applyAlignment="1">
      <alignment horizontal="right"/>
    </xf>
    <xf numFmtId="0" fontId="19" fillId="0" borderId="0" xfId="0" applyFont="1"/>
    <xf numFmtId="0" fontId="17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17" fillId="2" borderId="3" xfId="0" quotePrefix="1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vertical="center" wrapText="1"/>
    </xf>
    <xf numFmtId="3" fontId="18" fillId="2" borderId="3" xfId="0" applyNumberFormat="1" applyFont="1" applyFill="1" applyBorder="1" applyAlignment="1">
      <alignment horizontal="right" wrapText="1"/>
    </xf>
    <xf numFmtId="3" fontId="0" fillId="0" borderId="0" xfId="0" applyNumberFormat="1"/>
    <xf numFmtId="0" fontId="0" fillId="0" borderId="3" xfId="0" applyBorder="1"/>
    <xf numFmtId="4" fontId="7" fillId="2" borderId="3" xfId="0" applyNumberFormat="1" applyFont="1" applyFill="1" applyBorder="1" applyAlignment="1">
      <alignment wrapText="1"/>
    </xf>
    <xf numFmtId="0" fontId="18" fillId="2" borderId="4" xfId="0" applyFont="1" applyFill="1" applyBorder="1" applyAlignment="1">
      <alignment horizontal="left" vertical="center" wrapText="1"/>
    </xf>
    <xf numFmtId="4" fontId="7" fillId="2" borderId="3" xfId="0" applyNumberFormat="1" applyFont="1" applyFill="1" applyBorder="1"/>
    <xf numFmtId="3" fontId="3" fillId="2" borderId="4" xfId="0" applyNumberFormat="1" applyFont="1" applyFill="1" applyBorder="1" applyAlignment="1">
      <alignment horizontal="right" wrapText="1"/>
    </xf>
    <xf numFmtId="4" fontId="7" fillId="2" borderId="3" xfId="1" applyNumberFormat="1" applyFont="1" applyFill="1" applyBorder="1" applyAlignment="1" applyProtection="1">
      <alignment shrinkToFit="1"/>
    </xf>
    <xf numFmtId="0" fontId="17" fillId="2" borderId="1" xfId="0" quotePrefix="1" applyFont="1" applyFill="1" applyBorder="1" applyAlignment="1">
      <alignment horizontal="center" vertical="center"/>
    </xf>
    <xf numFmtId="0" fontId="17" fillId="2" borderId="3" xfId="0" quotePrefix="1" applyFont="1" applyFill="1" applyBorder="1" applyAlignment="1">
      <alignment horizontal="center" vertical="center"/>
    </xf>
    <xf numFmtId="0" fontId="17" fillId="2" borderId="4" xfId="0" quotePrefix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7" fillId="2" borderId="3" xfId="0" quotePrefix="1" applyFont="1" applyFill="1" applyBorder="1" applyAlignment="1">
      <alignment horizontal="center" vertical="center" wrapText="1"/>
    </xf>
    <xf numFmtId="0" fontId="9" fillId="2" borderId="4" xfId="0" quotePrefix="1" applyFont="1" applyFill="1" applyBorder="1" applyAlignment="1">
      <alignment horizontal="left" vertical="center" wrapText="1"/>
    </xf>
    <xf numFmtId="3" fontId="15" fillId="2" borderId="4" xfId="0" applyNumberFormat="1" applyFont="1" applyFill="1" applyBorder="1" applyAlignment="1">
      <alignment horizontal="right"/>
    </xf>
    <xf numFmtId="3" fontId="9" fillId="2" borderId="4" xfId="0" applyNumberFormat="1" applyFont="1" applyFill="1" applyBorder="1" applyAlignment="1">
      <alignment horizontal="right"/>
    </xf>
    <xf numFmtId="3" fontId="15" fillId="2" borderId="3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 indent="1"/>
    </xf>
    <xf numFmtId="0" fontId="20" fillId="2" borderId="2" xfId="0" applyFont="1" applyFill="1" applyBorder="1" applyAlignment="1">
      <alignment horizontal="left" vertical="center" wrapText="1" indent="1"/>
    </xf>
    <xf numFmtId="0" fontId="20" fillId="2" borderId="4" xfId="0" applyFont="1" applyFill="1" applyBorder="1" applyAlignment="1">
      <alignment horizontal="left" vertical="center" wrapText="1" indent="1"/>
    </xf>
    <xf numFmtId="0" fontId="21" fillId="0" borderId="1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4" xfId="0" applyFont="1" applyBorder="1" applyAlignment="1">
      <alignment horizontal="left"/>
    </xf>
    <xf numFmtId="0" fontId="20" fillId="2" borderId="1" xfId="0" applyFont="1" applyFill="1" applyBorder="1" applyAlignment="1">
      <alignment vertical="center" wrapText="1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/>
    <xf numFmtId="0" fontId="23" fillId="0" borderId="0" xfId="0" applyFont="1" applyAlignment="1">
      <alignment horizontal="left"/>
    </xf>
    <xf numFmtId="0" fontId="24" fillId="0" borderId="0" xfId="0" applyFont="1"/>
    <xf numFmtId="164" fontId="24" fillId="0" borderId="0" xfId="0" applyNumberFormat="1" applyFont="1" applyAlignment="1">
      <alignment wrapText="1"/>
    </xf>
    <xf numFmtId="164" fontId="23" fillId="0" borderId="0" xfId="0" applyNumberFormat="1" applyFont="1" applyAlignment="1">
      <alignment horizontal="left" wrapText="1"/>
    </xf>
    <xf numFmtId="164" fontId="24" fillId="0" borderId="0" xfId="0" applyNumberFormat="1" applyFont="1" applyAlignment="1">
      <alignment horizontal="left" wrapText="1"/>
    </xf>
    <xf numFmtId="4" fontId="0" fillId="0" borderId="0" xfId="0" applyNumberFormat="1"/>
    <xf numFmtId="0" fontId="25" fillId="0" borderId="5" xfId="0" applyFont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1" fontId="0" fillId="0" borderId="0" xfId="0" applyNumberFormat="1"/>
    <xf numFmtId="3" fontId="19" fillId="0" borderId="0" xfId="0" applyNumberFormat="1" applyFont="1"/>
    <xf numFmtId="3" fontId="9" fillId="2" borderId="3" xfId="0" applyNumberFormat="1" applyFont="1" applyFill="1" applyBorder="1" applyAlignment="1">
      <alignment horizontal="right"/>
    </xf>
    <xf numFmtId="0" fontId="26" fillId="0" borderId="0" xfId="0" applyFont="1"/>
    <xf numFmtId="3" fontId="8" fillId="2" borderId="3" xfId="0" applyNumberFormat="1" applyFont="1" applyFill="1" applyBorder="1" applyAlignment="1">
      <alignment horizontal="right"/>
    </xf>
    <xf numFmtId="3" fontId="15" fillId="2" borderId="3" xfId="0" applyNumberFormat="1" applyFont="1" applyFill="1" applyBorder="1" applyAlignment="1">
      <alignment horizontal="right" wrapText="1"/>
    </xf>
    <xf numFmtId="3" fontId="23" fillId="0" borderId="0" xfId="0" applyNumberFormat="1" applyFont="1" applyAlignment="1">
      <alignment horizontal="left" wrapText="1"/>
    </xf>
    <xf numFmtId="3" fontId="1" fillId="0" borderId="0" xfId="0" applyNumberFormat="1" applyFont="1"/>
    <xf numFmtId="3" fontId="23" fillId="0" borderId="0" xfId="0" applyNumberFormat="1" applyFont="1" applyAlignment="1">
      <alignment horizontal="center" wrapText="1"/>
    </xf>
    <xf numFmtId="0" fontId="9" fillId="0" borderId="0" xfId="0" quotePrefix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0" fillId="2" borderId="0" xfId="0" applyFill="1"/>
    <xf numFmtId="0" fontId="6" fillId="2" borderId="3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center" wrapText="1"/>
    </xf>
    <xf numFmtId="3" fontId="6" fillId="2" borderId="3" xfId="0" applyNumberFormat="1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vertical="center" wrapText="1"/>
    </xf>
    <xf numFmtId="3" fontId="18" fillId="2" borderId="3" xfId="0" applyNumberFormat="1" applyFont="1" applyFill="1" applyBorder="1"/>
    <xf numFmtId="3" fontId="6" fillId="2" borderId="3" xfId="0" applyNumberFormat="1" applyFont="1" applyFill="1" applyBorder="1"/>
    <xf numFmtId="3" fontId="3" fillId="2" borderId="3" xfId="0" applyNumberFormat="1" applyFont="1" applyFill="1" applyBorder="1"/>
    <xf numFmtId="3" fontId="6" fillId="4" borderId="3" xfId="0" applyNumberFormat="1" applyFont="1" applyFill="1" applyBorder="1" applyAlignment="1">
      <alignment vertical="center" wrapText="1"/>
    </xf>
    <xf numFmtId="0" fontId="9" fillId="2" borderId="2" xfId="0" quotePrefix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 wrapText="1"/>
    </xf>
    <xf numFmtId="3" fontId="0" fillId="0" borderId="3" xfId="0" applyNumberForma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6" fillId="2" borderId="7" xfId="0" applyNumberFormat="1" applyFont="1" applyFill="1" applyBorder="1" applyAlignment="1">
      <alignment horizontal="center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18" fillId="2" borderId="4" xfId="0" applyNumberFormat="1" applyFont="1" applyFill="1" applyBorder="1" applyAlignment="1">
      <alignment horizontal="right"/>
    </xf>
    <xf numFmtId="4" fontId="9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18" fillId="2" borderId="4" xfId="0" applyNumberFormat="1" applyFont="1" applyFill="1" applyBorder="1" applyAlignment="1">
      <alignment horizontal="right" wrapText="1"/>
    </xf>
    <xf numFmtId="4" fontId="17" fillId="2" borderId="4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15" fillId="2" borderId="4" xfId="0" applyNumberFormat="1" applyFont="1" applyFill="1" applyBorder="1" applyAlignment="1">
      <alignment horizontal="right"/>
    </xf>
    <xf numFmtId="4" fontId="19" fillId="0" borderId="0" xfId="0" applyNumberFormat="1" applyFont="1"/>
    <xf numFmtId="4" fontId="0" fillId="0" borderId="0" xfId="0" applyNumberFormat="1" applyAlignment="1">
      <alignment horizontal="right"/>
    </xf>
    <xf numFmtId="4" fontId="6" fillId="2" borderId="4" xfId="0" applyNumberFormat="1" applyFont="1" applyFill="1" applyBorder="1" applyAlignment="1">
      <alignment horizontal="right" vertical="center" wrapText="1"/>
    </xf>
    <xf numFmtId="4" fontId="6" fillId="4" borderId="4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4" fontId="8" fillId="2" borderId="4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right" vertical="center" wrapText="1"/>
    </xf>
    <xf numFmtId="3" fontId="6" fillId="2" borderId="4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Alignment="1">
      <alignment vertical="center" wrapText="1"/>
    </xf>
    <xf numFmtId="3" fontId="3" fillId="0" borderId="0" xfId="0" applyNumberFormat="1" applyFont="1"/>
    <xf numFmtId="0" fontId="7" fillId="2" borderId="4" xfId="0" applyFont="1" applyFill="1" applyBorder="1" applyAlignment="1">
      <alignment horizontal="left" vertical="center" wrapText="1"/>
    </xf>
    <xf numFmtId="4" fontId="7" fillId="2" borderId="4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 wrapText="1"/>
    </xf>
    <xf numFmtId="0" fontId="27" fillId="0" borderId="0" xfId="0" applyFont="1"/>
    <xf numFmtId="4" fontId="27" fillId="0" borderId="0" xfId="0" applyNumberFormat="1" applyFont="1"/>
    <xf numFmtId="164" fontId="28" fillId="0" borderId="0" xfId="0" applyNumberFormat="1" applyFont="1" applyAlignment="1">
      <alignment wrapText="1"/>
    </xf>
    <xf numFmtId="0" fontId="29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28" fillId="0" borderId="0" xfId="0" applyFont="1"/>
    <xf numFmtId="164" fontId="28" fillId="0" borderId="0" xfId="0" applyNumberFormat="1" applyFont="1" applyAlignment="1">
      <alignment horizontal="left" wrapText="1"/>
    </xf>
    <xf numFmtId="0" fontId="31" fillId="0" borderId="0" xfId="0" applyFont="1" applyAlignment="1">
      <alignment horizontal="center"/>
    </xf>
    <xf numFmtId="0" fontId="30" fillId="0" borderId="5" xfId="0" applyFont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/>
    </xf>
    <xf numFmtId="4" fontId="26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3" fontId="6" fillId="2" borderId="8" xfId="0" applyNumberFormat="1" applyFont="1" applyFill="1" applyBorder="1" applyAlignment="1">
      <alignment horizontal="right"/>
    </xf>
    <xf numFmtId="3" fontId="6" fillId="2" borderId="9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/>
    <xf numFmtId="3" fontId="6" fillId="2" borderId="3" xfId="0" applyNumberFormat="1" applyFont="1" applyFill="1" applyBorder="1" applyAlignment="1">
      <alignment horizontal="center"/>
    </xf>
    <xf numFmtId="0" fontId="17" fillId="2" borderId="1" xfId="0" quotePrefix="1" applyFont="1" applyFill="1" applyBorder="1" applyAlignment="1">
      <alignment horizontal="center" vertical="center"/>
    </xf>
    <xf numFmtId="0" fontId="17" fillId="2" borderId="2" xfId="0" quotePrefix="1" applyFont="1" applyFill="1" applyBorder="1" applyAlignment="1">
      <alignment horizontal="center" vertical="center"/>
    </xf>
    <xf numFmtId="0" fontId="17" fillId="2" borderId="4" xfId="0" quotePrefix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right"/>
    </xf>
    <xf numFmtId="0" fontId="31" fillId="0" borderId="5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/>
    </xf>
    <xf numFmtId="0" fontId="15" fillId="2" borderId="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 indent="1"/>
    </xf>
    <xf numFmtId="0" fontId="7" fillId="2" borderId="2" xfId="0" applyFont="1" applyFill="1" applyBorder="1" applyAlignment="1">
      <alignment horizontal="left" vertical="center" wrapText="1" indent="1"/>
    </xf>
    <xf numFmtId="0" fontId="7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 indent="1"/>
    </xf>
    <xf numFmtId="0" fontId="20" fillId="2" borderId="2" xfId="0" applyFont="1" applyFill="1" applyBorder="1" applyAlignment="1">
      <alignment horizontal="left" vertical="center" wrapText="1" indent="1"/>
    </xf>
    <xf numFmtId="0" fontId="20" fillId="2" borderId="4" xfId="0" applyFont="1" applyFill="1" applyBorder="1" applyAlignment="1">
      <alignment horizontal="left" vertical="center" wrapText="1" indent="1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opLeftCell="A29" workbookViewId="0">
      <selection activeCell="L28" sqref="L28"/>
    </sheetView>
  </sheetViews>
  <sheetFormatPr defaultRowHeight="15" x14ac:dyDescent="0.25"/>
  <cols>
    <col min="3" max="3" width="11.42578125" bestFit="1" customWidth="1"/>
    <col min="5" max="10" width="25.28515625" customWidth="1"/>
    <col min="14" max="14" width="15.7109375" customWidth="1"/>
  </cols>
  <sheetData>
    <row r="1" spans="1:14" ht="42" customHeight="1" x14ac:dyDescent="0.25">
      <c r="A1" s="182" t="s">
        <v>212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4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4" ht="15.75" x14ac:dyDescent="0.25">
      <c r="A3" s="182" t="s">
        <v>21</v>
      </c>
      <c r="B3" s="182"/>
      <c r="C3" s="182"/>
      <c r="D3" s="182"/>
      <c r="E3" s="182"/>
      <c r="F3" s="182"/>
      <c r="G3" s="182"/>
      <c r="H3" s="182"/>
      <c r="I3" s="183"/>
      <c r="J3" s="183"/>
    </row>
    <row r="4" spans="1:14" ht="18" x14ac:dyDescent="0.25">
      <c r="A4" s="4"/>
      <c r="B4" s="4"/>
      <c r="C4" s="4"/>
      <c r="D4" s="4"/>
      <c r="E4" s="4"/>
      <c r="F4" s="4"/>
      <c r="G4" s="4"/>
      <c r="H4" s="4"/>
      <c r="I4" s="5"/>
      <c r="J4" s="165"/>
    </row>
    <row r="5" spans="1:14" ht="18" customHeight="1" x14ac:dyDescent="0.25">
      <c r="A5" s="182" t="s">
        <v>28</v>
      </c>
      <c r="B5" s="193"/>
      <c r="C5" s="193"/>
      <c r="D5" s="193"/>
      <c r="E5" s="193"/>
      <c r="F5" s="193"/>
      <c r="G5" s="193"/>
      <c r="H5" s="193"/>
      <c r="I5" s="193"/>
      <c r="J5" s="193"/>
    </row>
    <row r="6" spans="1:14" ht="36.75" customHeight="1" x14ac:dyDescent="0.25">
      <c r="A6" s="94"/>
      <c r="B6" s="95"/>
      <c r="C6" s="173">
        <v>7.5345000000000004</v>
      </c>
      <c r="D6" s="1"/>
      <c r="E6" s="6"/>
      <c r="F6" s="7"/>
      <c r="G6" s="7"/>
      <c r="H6" s="7"/>
      <c r="I6" s="7"/>
      <c r="J6" s="100" t="s">
        <v>157</v>
      </c>
    </row>
    <row r="7" spans="1:14" ht="30.75" customHeight="1" x14ac:dyDescent="0.25">
      <c r="A7" s="28"/>
      <c r="B7" s="29"/>
      <c r="C7" s="29"/>
      <c r="D7" s="30"/>
      <c r="E7" s="31"/>
      <c r="F7" s="3" t="s">
        <v>166</v>
      </c>
      <c r="G7" s="3" t="s">
        <v>167</v>
      </c>
      <c r="H7" s="3" t="s">
        <v>178</v>
      </c>
      <c r="I7" s="3" t="s">
        <v>216</v>
      </c>
      <c r="J7" s="3" t="s">
        <v>215</v>
      </c>
    </row>
    <row r="8" spans="1:14" x14ac:dyDescent="0.25">
      <c r="A8" s="184" t="s">
        <v>0</v>
      </c>
      <c r="B8" s="185"/>
      <c r="C8" s="185"/>
      <c r="D8" s="185"/>
      <c r="E8" s="186"/>
      <c r="F8" s="136">
        <f>15858369.93/C6</f>
        <v>2104767.3939876566</v>
      </c>
      <c r="G8" s="32">
        <v>2284125</v>
      </c>
      <c r="H8" s="32">
        <v>2378000</v>
      </c>
      <c r="I8" s="32">
        <f>J8-H8</f>
        <v>365300</v>
      </c>
      <c r="J8" s="32">
        <f>J11+J14</f>
        <v>2743300</v>
      </c>
      <c r="N8" s="56"/>
    </row>
    <row r="9" spans="1:14" x14ac:dyDescent="0.25">
      <c r="A9" s="187" t="s">
        <v>159</v>
      </c>
      <c r="B9" s="188"/>
      <c r="C9" s="188"/>
      <c r="D9" s="188"/>
      <c r="E9" s="189"/>
      <c r="F9" s="137">
        <f>15828370.93/C6</f>
        <v>2100785.8424580265</v>
      </c>
      <c r="G9" s="33">
        <v>2284125</v>
      </c>
      <c r="H9" s="33">
        <v>2378000</v>
      </c>
      <c r="I9" s="33">
        <f>J9-H9</f>
        <v>365300</v>
      </c>
      <c r="J9" s="33">
        <v>2743300</v>
      </c>
      <c r="N9" s="56"/>
    </row>
    <row r="10" spans="1:14" x14ac:dyDescent="0.25">
      <c r="A10" s="190" t="s">
        <v>160</v>
      </c>
      <c r="B10" s="189"/>
      <c r="C10" s="189"/>
      <c r="D10" s="189"/>
      <c r="E10" s="189"/>
      <c r="F10" s="137">
        <f>29999/C6</f>
        <v>3981.5515296303665</v>
      </c>
      <c r="G10" s="33">
        <v>0</v>
      </c>
      <c r="H10" s="33">
        <v>0</v>
      </c>
      <c r="I10" s="33">
        <v>0</v>
      </c>
      <c r="J10" s="33">
        <v>0</v>
      </c>
      <c r="N10" s="56"/>
    </row>
    <row r="11" spans="1:14" x14ac:dyDescent="0.25">
      <c r="A11" s="38" t="s">
        <v>1</v>
      </c>
      <c r="B11" s="39"/>
      <c r="C11" s="39"/>
      <c r="D11" s="39"/>
      <c r="E11" s="39"/>
      <c r="F11" s="136">
        <f>16037715.57/C6</f>
        <v>2128570.6510053752</v>
      </c>
      <c r="G11" s="32">
        <v>2309760</v>
      </c>
      <c r="H11" s="32">
        <v>2383000</v>
      </c>
      <c r="I11" s="32">
        <f>J11-H11</f>
        <v>380800</v>
      </c>
      <c r="J11" s="32">
        <v>2763800</v>
      </c>
      <c r="N11" s="56"/>
    </row>
    <row r="12" spans="1:14" x14ac:dyDescent="0.25">
      <c r="A12" s="192" t="s">
        <v>161</v>
      </c>
      <c r="B12" s="188"/>
      <c r="C12" s="188"/>
      <c r="D12" s="188"/>
      <c r="E12" s="188"/>
      <c r="F12" s="137">
        <f>15957694.18/C6</f>
        <v>2117949.9873913331</v>
      </c>
      <c r="G12" s="33">
        <f>G11-G13</f>
        <v>2286540</v>
      </c>
      <c r="H12" s="33">
        <f>H11-H13</f>
        <v>2379900</v>
      </c>
      <c r="I12" s="33">
        <f>J12-H12</f>
        <v>378700</v>
      </c>
      <c r="J12" s="33">
        <f>J11-J13</f>
        <v>2758600</v>
      </c>
      <c r="L12" s="56"/>
      <c r="M12" s="56"/>
      <c r="N12" s="56"/>
    </row>
    <row r="13" spans="1:14" x14ac:dyDescent="0.25">
      <c r="A13" s="190" t="s">
        <v>162</v>
      </c>
      <c r="B13" s="189"/>
      <c r="C13" s="189"/>
      <c r="D13" s="189"/>
      <c r="E13" s="189"/>
      <c r="F13" s="137">
        <f>80021.39/C6</f>
        <v>10620.663614042072</v>
      </c>
      <c r="G13" s="33">
        <v>23220</v>
      </c>
      <c r="H13" s="33">
        <v>3100</v>
      </c>
      <c r="I13" s="33">
        <f>J13-H13</f>
        <v>2100</v>
      </c>
      <c r="J13" s="33">
        <v>5200</v>
      </c>
      <c r="L13" s="56"/>
      <c r="N13" s="56"/>
    </row>
    <row r="14" spans="1:14" x14ac:dyDescent="0.25">
      <c r="A14" s="191" t="s">
        <v>2</v>
      </c>
      <c r="B14" s="185"/>
      <c r="C14" s="185"/>
      <c r="D14" s="185"/>
      <c r="E14" s="185"/>
      <c r="F14" s="136">
        <f>F8-F11</f>
        <v>-23803.257017718628</v>
      </c>
      <c r="G14" s="34">
        <f>G8-G11</f>
        <v>-25635</v>
      </c>
      <c r="H14" s="32">
        <f>H8-H11</f>
        <v>-5000</v>
      </c>
      <c r="I14" s="34">
        <f>J14-H14</f>
        <v>-15500</v>
      </c>
      <c r="J14" s="34">
        <v>-20500</v>
      </c>
      <c r="N14" s="56"/>
    </row>
    <row r="15" spans="1:14" ht="18" x14ac:dyDescent="0.25">
      <c r="A15" s="4"/>
      <c r="B15" s="8"/>
      <c r="C15" s="8"/>
      <c r="D15" s="8"/>
      <c r="E15" s="8"/>
      <c r="F15" s="8"/>
      <c r="G15" s="8"/>
      <c r="H15" s="2"/>
      <c r="I15" s="166"/>
      <c r="J15" s="166"/>
    </row>
    <row r="16" spans="1:14" ht="18" customHeight="1" x14ac:dyDescent="0.25">
      <c r="A16" s="182" t="s">
        <v>29</v>
      </c>
      <c r="B16" s="193"/>
      <c r="C16" s="193"/>
      <c r="D16" s="193"/>
      <c r="E16" s="193"/>
      <c r="F16" s="193"/>
      <c r="G16" s="193"/>
      <c r="H16" s="193"/>
      <c r="I16" s="193"/>
      <c r="J16" s="193"/>
    </row>
    <row r="17" spans="1:12" ht="18" x14ac:dyDescent="0.25">
      <c r="A17" s="4"/>
      <c r="B17" s="8"/>
      <c r="C17" s="8"/>
      <c r="D17" s="8"/>
      <c r="E17" s="8"/>
      <c r="F17" s="8"/>
      <c r="G17" s="8"/>
      <c r="H17" s="2"/>
      <c r="I17" s="2"/>
      <c r="J17" s="2"/>
    </row>
    <row r="18" spans="1:12" ht="22.5" customHeight="1" x14ac:dyDescent="0.25">
      <c r="A18" s="28"/>
      <c r="B18" s="29"/>
      <c r="C18" s="29"/>
      <c r="D18" s="30"/>
      <c r="E18" s="31"/>
      <c r="F18" s="3" t="s">
        <v>166</v>
      </c>
      <c r="G18" s="3" t="s">
        <v>167</v>
      </c>
      <c r="H18" s="3" t="s">
        <v>178</v>
      </c>
      <c r="I18" s="3" t="s">
        <v>216</v>
      </c>
      <c r="J18" s="3" t="s">
        <v>215</v>
      </c>
    </row>
    <row r="19" spans="1:12" ht="15.75" customHeight="1" x14ac:dyDescent="0.25">
      <c r="A19" s="187" t="s">
        <v>163</v>
      </c>
      <c r="B19" s="202"/>
      <c r="C19" s="202"/>
      <c r="D19" s="202"/>
      <c r="E19" s="203"/>
      <c r="F19" s="137">
        <v>0</v>
      </c>
      <c r="G19" s="33">
        <v>0</v>
      </c>
      <c r="H19" s="33">
        <v>0</v>
      </c>
      <c r="I19" s="33">
        <v>0</v>
      </c>
      <c r="J19" s="33">
        <v>0</v>
      </c>
    </row>
    <row r="20" spans="1:12" x14ac:dyDescent="0.25">
      <c r="A20" s="187" t="s">
        <v>164</v>
      </c>
      <c r="B20" s="188"/>
      <c r="C20" s="188"/>
      <c r="D20" s="188"/>
      <c r="E20" s="188"/>
      <c r="F20" s="137">
        <v>0</v>
      </c>
      <c r="G20" s="33">
        <v>0</v>
      </c>
      <c r="H20" s="33">
        <v>0</v>
      </c>
      <c r="I20" s="33">
        <v>0</v>
      </c>
      <c r="J20" s="33">
        <v>0</v>
      </c>
    </row>
    <row r="21" spans="1:12" x14ac:dyDescent="0.25">
      <c r="A21" s="191" t="s">
        <v>3</v>
      </c>
      <c r="B21" s="185"/>
      <c r="C21" s="185"/>
      <c r="D21" s="185"/>
      <c r="E21" s="185"/>
      <c r="F21" s="136">
        <v>0</v>
      </c>
      <c r="G21" s="32">
        <v>0</v>
      </c>
      <c r="H21" s="32">
        <v>0</v>
      </c>
      <c r="I21" s="32">
        <v>0</v>
      </c>
      <c r="J21" s="32">
        <v>0</v>
      </c>
    </row>
    <row r="22" spans="1:12" x14ac:dyDescent="0.25">
      <c r="A22" s="191" t="s">
        <v>165</v>
      </c>
      <c r="B22" s="185"/>
      <c r="C22" s="185"/>
      <c r="D22" s="185"/>
      <c r="E22" s="185"/>
      <c r="F22" s="136">
        <v>0</v>
      </c>
      <c r="G22" s="32">
        <v>0</v>
      </c>
      <c r="H22" s="32">
        <v>0</v>
      </c>
      <c r="I22" s="32">
        <v>0</v>
      </c>
      <c r="J22" s="32">
        <v>0</v>
      </c>
    </row>
    <row r="23" spans="1:12" ht="18" x14ac:dyDescent="0.25">
      <c r="A23" s="22"/>
      <c r="B23" s="8"/>
      <c r="C23" s="8"/>
      <c r="D23" s="8"/>
      <c r="E23" s="8"/>
      <c r="F23" s="8"/>
      <c r="G23" s="8"/>
      <c r="H23" s="2"/>
      <c r="I23" s="2"/>
      <c r="J23" s="2"/>
    </row>
    <row r="24" spans="1:12" ht="18" customHeight="1" x14ac:dyDescent="0.25">
      <c r="A24" s="182" t="s">
        <v>168</v>
      </c>
      <c r="B24" s="193"/>
      <c r="C24" s="193"/>
      <c r="D24" s="193"/>
      <c r="E24" s="193"/>
      <c r="F24" s="193"/>
      <c r="G24" s="193"/>
      <c r="H24" s="193"/>
      <c r="I24" s="193"/>
      <c r="J24" s="193"/>
    </row>
    <row r="25" spans="1:12" ht="18" x14ac:dyDescent="0.25">
      <c r="A25" s="22"/>
      <c r="B25" s="8"/>
      <c r="C25" s="8"/>
      <c r="D25" s="8"/>
      <c r="E25" s="8"/>
      <c r="F25" s="8"/>
      <c r="G25" s="8"/>
      <c r="H25" s="2"/>
      <c r="I25" s="2"/>
      <c r="J25" s="2"/>
    </row>
    <row r="26" spans="1:12" ht="25.5" customHeight="1" x14ac:dyDescent="0.25">
      <c r="A26" s="28"/>
      <c r="B26" s="29"/>
      <c r="C26" s="29"/>
      <c r="D26" s="30"/>
      <c r="E26" s="31"/>
      <c r="F26" s="3" t="s">
        <v>166</v>
      </c>
      <c r="G26" s="3" t="s">
        <v>167</v>
      </c>
      <c r="H26" s="3" t="s">
        <v>178</v>
      </c>
      <c r="I26" s="3" t="s">
        <v>216</v>
      </c>
      <c r="J26" s="3" t="s">
        <v>215</v>
      </c>
    </row>
    <row r="27" spans="1:12" ht="26.25" customHeight="1" x14ac:dyDescent="0.25">
      <c r="A27" s="196" t="s">
        <v>169</v>
      </c>
      <c r="B27" s="197"/>
      <c r="C27" s="197"/>
      <c r="D27" s="197"/>
      <c r="E27" s="198"/>
      <c r="F27" s="138">
        <f>372495.92/C6</f>
        <v>49438.704625389866</v>
      </c>
      <c r="G27" s="35">
        <v>25635</v>
      </c>
      <c r="H27" s="35">
        <v>5000</v>
      </c>
      <c r="I27" s="35">
        <v>15500</v>
      </c>
      <c r="J27" s="36">
        <f>H27+I27</f>
        <v>20500</v>
      </c>
    </row>
    <row r="28" spans="1:12" ht="22.5" customHeight="1" x14ac:dyDescent="0.25">
      <c r="A28" s="199" t="s">
        <v>170</v>
      </c>
      <c r="B28" s="200"/>
      <c r="C28" s="200"/>
      <c r="D28" s="200"/>
      <c r="E28" s="201"/>
      <c r="F28" s="139">
        <f>372495.92/C6</f>
        <v>49438.704625389866</v>
      </c>
      <c r="G28" s="37">
        <v>25635</v>
      </c>
      <c r="H28" s="37">
        <v>5000</v>
      </c>
      <c r="I28" s="37">
        <v>15500</v>
      </c>
      <c r="J28" s="34">
        <v>20500</v>
      </c>
    </row>
    <row r="29" spans="1:12" ht="40.5" customHeight="1" x14ac:dyDescent="0.25">
      <c r="A29" s="199" t="s">
        <v>171</v>
      </c>
      <c r="B29" s="200"/>
      <c r="C29" s="200"/>
      <c r="D29" s="200"/>
      <c r="E29" s="201"/>
      <c r="F29" s="139">
        <v>49438.7</v>
      </c>
      <c r="G29" s="37">
        <v>25635</v>
      </c>
      <c r="H29" s="37">
        <v>5000</v>
      </c>
      <c r="I29" s="37">
        <v>15500</v>
      </c>
      <c r="J29" s="34">
        <v>20500</v>
      </c>
    </row>
    <row r="31" spans="1:12" x14ac:dyDescent="0.25">
      <c r="A31" s="114"/>
      <c r="B31" s="115"/>
      <c r="C31" s="115"/>
      <c r="D31" s="115"/>
      <c r="E31" s="115"/>
      <c r="F31" s="102"/>
      <c r="G31" s="102"/>
      <c r="H31" s="102"/>
      <c r="I31" s="102"/>
      <c r="J31" s="102"/>
      <c r="L31" s="102"/>
    </row>
    <row r="32" spans="1:12" x14ac:dyDescent="0.25">
      <c r="A32" s="114"/>
      <c r="B32" s="115"/>
      <c r="C32" s="115"/>
      <c r="D32" s="115"/>
      <c r="E32" s="115"/>
      <c r="F32" s="102"/>
      <c r="G32" s="102"/>
      <c r="H32" s="102"/>
      <c r="I32" s="102"/>
      <c r="J32" s="102"/>
      <c r="L32" s="102"/>
    </row>
    <row r="33" spans="1:10" ht="21" customHeight="1" x14ac:dyDescent="0.25">
      <c r="A33" s="182" t="s">
        <v>172</v>
      </c>
      <c r="B33" s="193"/>
      <c r="C33" s="193"/>
      <c r="D33" s="193"/>
      <c r="E33" s="193"/>
      <c r="F33" s="193"/>
      <c r="G33" s="193"/>
      <c r="H33" s="193"/>
      <c r="I33" s="193"/>
      <c r="J33" s="193"/>
    </row>
    <row r="34" spans="1:10" ht="29.25" customHeight="1" x14ac:dyDescent="0.25">
      <c r="A34" s="22"/>
      <c r="B34" s="8"/>
      <c r="C34" s="8"/>
      <c r="D34" s="8"/>
      <c r="E34" s="8"/>
      <c r="F34" s="8"/>
      <c r="G34" s="8"/>
      <c r="H34" s="2"/>
      <c r="I34" s="2"/>
      <c r="J34" s="2"/>
    </row>
    <row r="35" spans="1:10" ht="27.75" customHeight="1" x14ac:dyDescent="0.25">
      <c r="A35" s="28"/>
      <c r="B35" s="29"/>
      <c r="C35" s="29"/>
      <c r="D35" s="30"/>
      <c r="E35" s="31"/>
      <c r="F35" s="3" t="s">
        <v>166</v>
      </c>
      <c r="G35" s="3" t="s">
        <v>167</v>
      </c>
      <c r="H35" s="3" t="s">
        <v>178</v>
      </c>
      <c r="I35" s="3" t="s">
        <v>216</v>
      </c>
      <c r="J35" s="3" t="s">
        <v>215</v>
      </c>
    </row>
    <row r="36" spans="1:10" ht="15" customHeight="1" x14ac:dyDescent="0.25">
      <c r="A36" s="196" t="s">
        <v>169</v>
      </c>
      <c r="B36" s="197"/>
      <c r="C36" s="197"/>
      <c r="D36" s="197"/>
      <c r="E36" s="198"/>
      <c r="F36" s="138">
        <v>0</v>
      </c>
      <c r="G36" s="35">
        <v>0</v>
      </c>
      <c r="H36" s="35">
        <v>0</v>
      </c>
      <c r="I36" s="35">
        <v>0</v>
      </c>
      <c r="J36" s="36">
        <v>0</v>
      </c>
    </row>
    <row r="37" spans="1:10" ht="28.5" customHeight="1" x14ac:dyDescent="0.25">
      <c r="A37" s="196" t="s">
        <v>173</v>
      </c>
      <c r="B37" s="197"/>
      <c r="C37" s="197"/>
      <c r="D37" s="197"/>
      <c r="E37" s="198"/>
      <c r="F37" s="138">
        <v>0</v>
      </c>
      <c r="G37" s="35">
        <v>0</v>
      </c>
      <c r="H37" s="35">
        <v>0</v>
      </c>
      <c r="I37" s="35">
        <v>0</v>
      </c>
      <c r="J37" s="36">
        <v>0</v>
      </c>
    </row>
    <row r="38" spans="1:10" ht="21.75" customHeight="1" x14ac:dyDescent="0.25">
      <c r="A38" s="196" t="s">
        <v>174</v>
      </c>
      <c r="B38" s="197"/>
      <c r="C38" s="197"/>
      <c r="D38" s="197"/>
      <c r="E38" s="198"/>
      <c r="F38" s="138">
        <v>0</v>
      </c>
      <c r="G38" s="35">
        <v>0</v>
      </c>
      <c r="H38" s="35">
        <v>0</v>
      </c>
      <c r="I38" s="35">
        <v>0</v>
      </c>
      <c r="J38" s="36">
        <v>0</v>
      </c>
    </row>
    <row r="39" spans="1:10" ht="21.75" customHeight="1" x14ac:dyDescent="0.25">
      <c r="A39" s="199" t="s">
        <v>170</v>
      </c>
      <c r="B39" s="200"/>
      <c r="C39" s="200"/>
      <c r="D39" s="200"/>
      <c r="E39" s="201"/>
      <c r="F39" s="139">
        <v>0</v>
      </c>
      <c r="G39" s="37">
        <v>0</v>
      </c>
      <c r="H39" s="37">
        <v>0</v>
      </c>
      <c r="I39" s="37">
        <v>0</v>
      </c>
      <c r="J39" s="34">
        <v>0</v>
      </c>
    </row>
    <row r="40" spans="1:10" ht="33" customHeight="1" x14ac:dyDescent="0.25"/>
    <row r="41" spans="1:10" x14ac:dyDescent="0.25">
      <c r="A41" s="194" t="s">
        <v>175</v>
      </c>
      <c r="B41" s="195"/>
      <c r="C41" s="195"/>
      <c r="D41" s="195"/>
      <c r="E41" s="195"/>
      <c r="F41" s="195"/>
      <c r="G41" s="195"/>
      <c r="H41" s="195"/>
      <c r="I41" s="195"/>
      <c r="J41" s="195"/>
    </row>
    <row r="43" spans="1:10" ht="38.25" customHeight="1" x14ac:dyDescent="0.25">
      <c r="A43" s="103"/>
      <c r="B43" s="104"/>
      <c r="C43" s="104"/>
      <c r="D43" s="104"/>
      <c r="E43" s="104"/>
      <c r="F43" s="104"/>
      <c r="G43" s="104"/>
      <c r="H43" s="104"/>
      <c r="I43" s="104"/>
      <c r="J43" s="104"/>
    </row>
    <row r="44" spans="1:10" x14ac:dyDescent="0.25">
      <c r="A44" s="103"/>
      <c r="B44" s="104"/>
      <c r="C44" s="104"/>
      <c r="D44" s="104"/>
      <c r="E44" s="104"/>
      <c r="F44" s="104"/>
      <c r="G44" s="104"/>
      <c r="H44" s="104"/>
      <c r="I44" s="104"/>
      <c r="J44" s="104"/>
    </row>
  </sheetData>
  <mergeCells count="24">
    <mergeCell ref="A41:J41"/>
    <mergeCell ref="A27:E27"/>
    <mergeCell ref="A29:E29"/>
    <mergeCell ref="A19:E19"/>
    <mergeCell ref="A20:E20"/>
    <mergeCell ref="A21:E21"/>
    <mergeCell ref="A22:E22"/>
    <mergeCell ref="A33:J33"/>
    <mergeCell ref="A36:E36"/>
    <mergeCell ref="A39:E39"/>
    <mergeCell ref="A28:E28"/>
    <mergeCell ref="A37:E37"/>
    <mergeCell ref="A38:E38"/>
    <mergeCell ref="A24:J24"/>
    <mergeCell ref="A13:E13"/>
    <mergeCell ref="A14:E14"/>
    <mergeCell ref="A12:E12"/>
    <mergeCell ref="A5:J5"/>
    <mergeCell ref="A16:J16"/>
    <mergeCell ref="A1:J1"/>
    <mergeCell ref="A3:J3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3"/>
  <sheetViews>
    <sheetView topLeftCell="A38" workbookViewId="0">
      <selection activeCell="N68" sqref="N6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.5703125" customWidth="1"/>
    <col min="4" max="9" width="25.28515625" customWidth="1"/>
    <col min="10" max="10" width="9.140625" bestFit="1" customWidth="1"/>
    <col min="11" max="11" width="17.42578125" customWidth="1"/>
    <col min="12" max="12" width="14.5703125" bestFit="1" customWidth="1"/>
    <col min="13" max="14" width="13.7109375" customWidth="1"/>
    <col min="15" max="15" width="12.7109375" customWidth="1"/>
    <col min="16" max="16" width="14.42578125" customWidth="1"/>
    <col min="17" max="17" width="15.85546875" customWidth="1"/>
    <col min="18" max="18" width="12.5703125" customWidth="1"/>
    <col min="19" max="19" width="11.42578125" customWidth="1"/>
  </cols>
  <sheetData>
    <row r="1" spans="1:16" ht="42" customHeight="1" x14ac:dyDescent="0.25">
      <c r="A1" s="182" t="s">
        <v>212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6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6" ht="15.75" x14ac:dyDescent="0.25">
      <c r="A3" s="182" t="s">
        <v>21</v>
      </c>
      <c r="B3" s="182"/>
      <c r="C3" s="182"/>
      <c r="D3" s="182"/>
      <c r="E3" s="182"/>
      <c r="F3" s="182"/>
      <c r="G3" s="182"/>
      <c r="H3" s="183"/>
      <c r="I3" s="183"/>
    </row>
    <row r="4" spans="1:16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6" ht="18" customHeight="1" x14ac:dyDescent="0.25">
      <c r="A5" s="182" t="s">
        <v>7</v>
      </c>
      <c r="B5" s="193"/>
      <c r="C5" s="193"/>
      <c r="D5" s="193"/>
      <c r="E5" s="193"/>
      <c r="F5" s="193"/>
      <c r="G5" s="193"/>
      <c r="H5" s="193"/>
      <c r="I5" s="193"/>
    </row>
    <row r="6" spans="1:16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16" ht="15.75" x14ac:dyDescent="0.25">
      <c r="A7" s="182" t="s">
        <v>176</v>
      </c>
      <c r="B7" s="204"/>
      <c r="C7" s="204"/>
      <c r="D7" s="204"/>
      <c r="E7" s="204"/>
      <c r="F7" s="204"/>
      <c r="G7" s="204"/>
      <c r="H7" s="204"/>
      <c r="I7" s="204"/>
    </row>
    <row r="8" spans="1:16" ht="18" x14ac:dyDescent="0.25">
      <c r="A8" s="175" t="s">
        <v>156</v>
      </c>
      <c r="B8" s="176"/>
      <c r="C8" s="173"/>
      <c r="D8" s="177">
        <v>7.5345000000000004</v>
      </c>
      <c r="E8" s="6"/>
      <c r="F8" s="7"/>
      <c r="G8" s="7"/>
      <c r="H8" s="7"/>
      <c r="I8" s="100" t="s">
        <v>157</v>
      </c>
    </row>
    <row r="9" spans="1:16" ht="25.5" x14ac:dyDescent="0.25">
      <c r="A9" s="21" t="s">
        <v>8</v>
      </c>
      <c r="B9" s="20" t="s">
        <v>9</v>
      </c>
      <c r="C9" s="20"/>
      <c r="D9" s="20" t="s">
        <v>6</v>
      </c>
      <c r="E9" s="20" t="s">
        <v>177</v>
      </c>
      <c r="F9" s="21" t="s">
        <v>167</v>
      </c>
      <c r="G9" s="21" t="s">
        <v>178</v>
      </c>
      <c r="H9" s="21" t="s">
        <v>216</v>
      </c>
      <c r="I9" s="21" t="s">
        <v>214</v>
      </c>
      <c r="K9" s="174" t="s">
        <v>166</v>
      </c>
      <c r="L9" s="174" t="s">
        <v>167</v>
      </c>
      <c r="M9" s="174" t="s">
        <v>178</v>
      </c>
      <c r="N9" s="174" t="s">
        <v>213</v>
      </c>
      <c r="O9" s="174" t="s">
        <v>215</v>
      </c>
    </row>
    <row r="10" spans="1:16" x14ac:dyDescent="0.25">
      <c r="A10" s="3"/>
      <c r="B10" s="66"/>
      <c r="C10" s="66"/>
      <c r="D10" s="27" t="s">
        <v>0</v>
      </c>
      <c r="E10" s="157">
        <v>2104767.39</v>
      </c>
      <c r="F10" s="164">
        <v>2284125</v>
      </c>
      <c r="G10" s="163">
        <v>2378000</v>
      </c>
      <c r="H10" s="163">
        <f t="shared" ref="H10:H18" si="0">I10-G10</f>
        <v>365300</v>
      </c>
      <c r="I10" s="163">
        <v>2743300</v>
      </c>
    </row>
    <row r="11" spans="1:16" ht="15.75" customHeight="1" x14ac:dyDescent="0.25">
      <c r="A11" s="12">
        <v>6</v>
      </c>
      <c r="B11" s="12"/>
      <c r="C11" s="12"/>
      <c r="D11" s="12" t="s">
        <v>10</v>
      </c>
      <c r="E11" s="157">
        <f>SUM(E12:E16)</f>
        <v>2100785.8372705556</v>
      </c>
      <c r="F11" s="45">
        <v>2284125</v>
      </c>
      <c r="G11" s="46">
        <v>2378000</v>
      </c>
      <c r="H11" s="46">
        <f t="shared" si="0"/>
        <v>365300</v>
      </c>
      <c r="I11" s="46">
        <v>2743300</v>
      </c>
      <c r="L11" s="56"/>
      <c r="M11" s="56"/>
      <c r="N11" s="56"/>
      <c r="O11" s="56"/>
      <c r="P11" s="56"/>
    </row>
    <row r="12" spans="1:16" s="50" customFormat="1" ht="38.25" x14ac:dyDescent="0.25">
      <c r="A12" s="48"/>
      <c r="B12" s="48">
        <v>63</v>
      </c>
      <c r="C12" s="48"/>
      <c r="D12" s="48" t="s">
        <v>34</v>
      </c>
      <c r="E12" s="141">
        <v>16179</v>
      </c>
      <c r="F12" s="49">
        <v>17000</v>
      </c>
      <c r="G12" s="49">
        <f>5900+11100</f>
        <v>17000</v>
      </c>
      <c r="H12" s="49">
        <f t="shared" si="0"/>
        <v>3500</v>
      </c>
      <c r="I12" s="49">
        <v>20500</v>
      </c>
      <c r="K12" s="106"/>
      <c r="L12" s="56"/>
      <c r="M12" s="56"/>
      <c r="N12" s="56"/>
      <c r="O12" s="56"/>
      <c r="P12" s="56"/>
    </row>
    <row r="13" spans="1:16" s="50" customFormat="1" x14ac:dyDescent="0.25">
      <c r="A13" s="51"/>
      <c r="B13" s="51">
        <v>64</v>
      </c>
      <c r="C13" s="51"/>
      <c r="D13" s="53" t="s">
        <v>39</v>
      </c>
      <c r="E13" s="141">
        <f>7.07/D8</f>
        <v>0.93835025549140616</v>
      </c>
      <c r="F13" s="49">
        <v>10</v>
      </c>
      <c r="G13" s="49">
        <v>100</v>
      </c>
      <c r="H13" s="49">
        <f t="shared" si="0"/>
        <v>0</v>
      </c>
      <c r="I13" s="49">
        <v>100</v>
      </c>
      <c r="K13" s="155"/>
      <c r="L13" s="56"/>
      <c r="M13" s="56"/>
      <c r="N13" s="56"/>
      <c r="O13" s="56"/>
      <c r="P13" s="56"/>
    </row>
    <row r="14" spans="1:16" s="50" customFormat="1" ht="51" x14ac:dyDescent="0.25">
      <c r="A14" s="51"/>
      <c r="B14" s="51">
        <v>65</v>
      </c>
      <c r="C14" s="51"/>
      <c r="D14" s="53" t="s">
        <v>41</v>
      </c>
      <c r="E14" s="141">
        <f>4401440.44/D8</f>
        <v>584171.53626650746</v>
      </c>
      <c r="F14" s="49">
        <v>617775</v>
      </c>
      <c r="G14" s="49">
        <v>615200</v>
      </c>
      <c r="H14" s="49">
        <f t="shared" si="0"/>
        <v>12200</v>
      </c>
      <c r="I14" s="49">
        <v>627400</v>
      </c>
      <c r="K14" s="106"/>
      <c r="L14" s="106"/>
      <c r="M14" s="106"/>
      <c r="N14" s="56"/>
      <c r="O14" s="56"/>
      <c r="P14" s="56"/>
    </row>
    <row r="15" spans="1:16" s="50" customFormat="1" ht="51" x14ac:dyDescent="0.25">
      <c r="A15" s="51"/>
      <c r="B15" s="51">
        <v>66</v>
      </c>
      <c r="C15" s="51"/>
      <c r="D15" s="53" t="s">
        <v>203</v>
      </c>
      <c r="E15" s="141">
        <f>15900/D8</f>
        <v>2110.2926537925541</v>
      </c>
      <c r="F15" s="49">
        <v>4830</v>
      </c>
      <c r="G15" s="49">
        <v>3200</v>
      </c>
      <c r="H15" s="49">
        <f t="shared" si="0"/>
        <v>1400</v>
      </c>
      <c r="I15" s="49">
        <v>4600</v>
      </c>
      <c r="L15" s="56"/>
      <c r="M15" s="56"/>
      <c r="N15" s="56"/>
      <c r="O15" s="56"/>
      <c r="P15" s="56"/>
    </row>
    <row r="16" spans="1:16" s="50" customFormat="1" ht="51" x14ac:dyDescent="0.25">
      <c r="A16" s="51"/>
      <c r="B16" s="51">
        <v>67</v>
      </c>
      <c r="C16" s="51"/>
      <c r="D16" s="48" t="s">
        <v>35</v>
      </c>
      <c r="E16" s="141">
        <v>1498324.07</v>
      </c>
      <c r="F16" s="49">
        <v>1644510</v>
      </c>
      <c r="G16" s="49">
        <f>1670000+40000+32500</f>
        <v>1742500</v>
      </c>
      <c r="H16" s="49">
        <f t="shared" si="0"/>
        <v>348200</v>
      </c>
      <c r="I16" s="49">
        <v>2090700</v>
      </c>
      <c r="L16" s="56"/>
      <c r="M16" s="56"/>
      <c r="N16" s="56"/>
      <c r="O16" s="56"/>
      <c r="P16" s="56"/>
    </row>
    <row r="17" spans="1:19" ht="25.5" x14ac:dyDescent="0.25">
      <c r="A17" s="15">
        <v>7</v>
      </c>
      <c r="B17" s="15"/>
      <c r="C17" s="15"/>
      <c r="D17" s="23" t="s">
        <v>12</v>
      </c>
      <c r="E17" s="140">
        <v>3981.55</v>
      </c>
      <c r="F17" s="46">
        <v>0</v>
      </c>
      <c r="G17" s="10">
        <v>0</v>
      </c>
      <c r="H17" s="10">
        <f t="shared" si="0"/>
        <v>0</v>
      </c>
      <c r="I17" s="10">
        <v>0</v>
      </c>
      <c r="L17" s="56"/>
      <c r="M17" s="56"/>
      <c r="N17" s="56"/>
      <c r="O17" s="56"/>
      <c r="P17" s="56"/>
    </row>
    <row r="18" spans="1:19" s="50" customFormat="1" ht="38.25" x14ac:dyDescent="0.25">
      <c r="A18" s="48"/>
      <c r="B18" s="48">
        <v>72</v>
      </c>
      <c r="C18" s="48"/>
      <c r="D18" s="54" t="s">
        <v>33</v>
      </c>
      <c r="E18" s="141">
        <f>29999/D8</f>
        <v>3981.5515296303665</v>
      </c>
      <c r="F18" s="49">
        <v>0</v>
      </c>
      <c r="G18" s="49">
        <v>0</v>
      </c>
      <c r="H18" s="49">
        <f t="shared" si="0"/>
        <v>0</v>
      </c>
      <c r="I18" s="49">
        <v>0</v>
      </c>
      <c r="L18" s="56"/>
      <c r="M18" s="56"/>
      <c r="N18" s="56"/>
      <c r="O18" s="56"/>
      <c r="P18" s="56"/>
    </row>
    <row r="19" spans="1:19" x14ac:dyDescent="0.25">
      <c r="A19" s="212" t="s">
        <v>70</v>
      </c>
      <c r="B19" s="213"/>
      <c r="C19" s="213"/>
      <c r="D19" s="213"/>
      <c r="E19" s="214">
        <f>SUM(E17,E11)</f>
        <v>2104767.3872705554</v>
      </c>
      <c r="F19" s="207">
        <f>SUM(F11,F17,)</f>
        <v>2284125</v>
      </c>
      <c r="G19" s="205">
        <f>SUM(G12,G13,G14,G15,G16,)</f>
        <v>2378000</v>
      </c>
      <c r="H19" s="207">
        <f>H17+H11</f>
        <v>365300</v>
      </c>
      <c r="I19" s="207">
        <f>I17+I11</f>
        <v>2743300</v>
      </c>
      <c r="L19" s="56"/>
      <c r="M19" s="56"/>
      <c r="N19" s="56"/>
      <c r="O19" s="56"/>
      <c r="P19" s="56"/>
      <c r="Q19" s="56"/>
      <c r="R19" s="56"/>
      <c r="S19" s="56"/>
    </row>
    <row r="20" spans="1:19" x14ac:dyDescent="0.25">
      <c r="A20" s="213"/>
      <c r="B20" s="213"/>
      <c r="C20" s="213"/>
      <c r="D20" s="213"/>
      <c r="E20" s="214"/>
      <c r="F20" s="207"/>
      <c r="G20" s="206"/>
      <c r="H20" s="207"/>
      <c r="I20" s="207"/>
      <c r="K20" s="56"/>
      <c r="L20" s="56"/>
      <c r="M20" s="56"/>
      <c r="N20" s="56"/>
      <c r="O20" s="56"/>
      <c r="P20" s="56"/>
    </row>
    <row r="21" spans="1:19" x14ac:dyDescent="0.25">
      <c r="E21" s="105"/>
      <c r="F21" s="105"/>
      <c r="G21" s="105"/>
      <c r="H21" s="105"/>
      <c r="I21" s="105"/>
    </row>
    <row r="37" spans="1:16" ht="15.75" x14ac:dyDescent="0.25">
      <c r="A37" s="182" t="s">
        <v>179</v>
      </c>
      <c r="B37" s="204"/>
      <c r="C37" s="204"/>
      <c r="D37" s="204"/>
      <c r="E37" s="204"/>
      <c r="F37" s="204"/>
      <c r="G37" s="204"/>
      <c r="H37" s="204"/>
      <c r="I37" s="204"/>
    </row>
    <row r="38" spans="1:16" ht="36.75" customHeight="1" x14ac:dyDescent="0.25">
      <c r="A38" s="175" t="s">
        <v>156</v>
      </c>
      <c r="B38" s="176"/>
      <c r="C38" s="173"/>
      <c r="D38" s="177">
        <v>7.5345000000000004</v>
      </c>
      <c r="E38" s="6"/>
      <c r="F38" s="7"/>
      <c r="G38" s="7"/>
      <c r="H38" s="7"/>
      <c r="I38" s="100" t="s">
        <v>157</v>
      </c>
    </row>
    <row r="39" spans="1:16" ht="27.75" customHeight="1" x14ac:dyDescent="0.25">
      <c r="A39" s="21" t="s">
        <v>8</v>
      </c>
      <c r="B39" s="20" t="s">
        <v>9</v>
      </c>
      <c r="C39" s="20"/>
      <c r="D39" s="20" t="s">
        <v>6</v>
      </c>
      <c r="E39" s="20" t="s">
        <v>177</v>
      </c>
      <c r="F39" s="21" t="s">
        <v>167</v>
      </c>
      <c r="G39" s="21" t="s">
        <v>178</v>
      </c>
      <c r="H39" s="21" t="s">
        <v>216</v>
      </c>
      <c r="I39" s="21" t="s">
        <v>215</v>
      </c>
    </row>
    <row r="40" spans="1:16" x14ac:dyDescent="0.25">
      <c r="A40" s="3"/>
      <c r="B40" s="66"/>
      <c r="C40" s="66"/>
      <c r="D40" s="27" t="s">
        <v>1</v>
      </c>
      <c r="E40" s="157">
        <v>2128570.65</v>
      </c>
      <c r="F40" s="112">
        <v>2309760</v>
      </c>
      <c r="G40" s="163">
        <v>2383000</v>
      </c>
      <c r="H40" s="163">
        <f>I40-G40</f>
        <v>380800</v>
      </c>
      <c r="I40" s="163">
        <v>2763800</v>
      </c>
      <c r="M40" s="99"/>
    </row>
    <row r="41" spans="1:16" ht="15.75" customHeight="1" x14ac:dyDescent="0.25">
      <c r="A41" s="12">
        <v>3</v>
      </c>
      <c r="B41" s="12"/>
      <c r="C41" s="12"/>
      <c r="D41" s="12" t="s">
        <v>13</v>
      </c>
      <c r="E41" s="142">
        <f>SUM(E42:E64)</f>
        <v>2117949.9878080827</v>
      </c>
      <c r="F41" s="121">
        <v>2286540</v>
      </c>
      <c r="G41" s="46">
        <f>G40-G65</f>
        <v>2379900</v>
      </c>
      <c r="H41" s="46">
        <f>I41-G41</f>
        <v>378700</v>
      </c>
      <c r="I41" s="46">
        <v>2758600</v>
      </c>
      <c r="J41" s="56"/>
      <c r="K41" s="56"/>
      <c r="L41" s="97"/>
      <c r="M41" s="99"/>
    </row>
    <row r="42" spans="1:16" s="50" customFormat="1" ht="15.75" customHeight="1" x14ac:dyDescent="0.25">
      <c r="A42" s="48"/>
      <c r="B42" s="48">
        <v>31</v>
      </c>
      <c r="C42" s="48"/>
      <c r="D42" s="48" t="s">
        <v>14</v>
      </c>
      <c r="E42" s="141">
        <v>1660673.62</v>
      </c>
      <c r="F42" s="122">
        <v>1815230</v>
      </c>
      <c r="G42" s="49">
        <v>1916900</v>
      </c>
      <c r="H42" s="49">
        <f>I42-G42</f>
        <v>354500</v>
      </c>
      <c r="I42" s="49">
        <v>2271400</v>
      </c>
      <c r="K42" s="99"/>
      <c r="L42" s="56"/>
      <c r="M42" s="56"/>
    </row>
    <row r="43" spans="1:16" s="47" customFormat="1" x14ac:dyDescent="0.25">
      <c r="A43" s="25"/>
      <c r="B43" s="25">
        <v>32</v>
      </c>
      <c r="C43" s="51"/>
      <c r="D43" s="25" t="s">
        <v>24</v>
      </c>
      <c r="E43" s="140">
        <v>429968.5</v>
      </c>
      <c r="F43" s="123">
        <v>431780</v>
      </c>
      <c r="G43" s="46">
        <f>409500+11100</f>
        <v>420600</v>
      </c>
      <c r="H43" s="46">
        <f>I43-G43</f>
        <v>23800</v>
      </c>
      <c r="I43" s="46">
        <f>429600+14800</f>
        <v>444400</v>
      </c>
      <c r="K43" s="156"/>
      <c r="L43" s="113"/>
      <c r="M43" s="113"/>
      <c r="N43" s="113"/>
      <c r="O43" s="112"/>
      <c r="P43" s="112"/>
    </row>
    <row r="44" spans="1:16" x14ac:dyDescent="0.25">
      <c r="A44" s="13"/>
      <c r="B44" s="25">
        <v>34</v>
      </c>
      <c r="C44" s="14"/>
      <c r="D44" s="25" t="s">
        <v>44</v>
      </c>
      <c r="E44" s="140">
        <f>19797.33/D38</f>
        <v>2627.557236711129</v>
      </c>
      <c r="F44" s="123">
        <v>2400</v>
      </c>
      <c r="G44" s="46">
        <v>2400</v>
      </c>
      <c r="H44" s="46">
        <f>I44-G44</f>
        <v>400</v>
      </c>
      <c r="I44" s="46">
        <v>2800</v>
      </c>
      <c r="K44" s="56"/>
      <c r="L44" s="111"/>
      <c r="M44" s="111"/>
      <c r="N44" s="111"/>
      <c r="O44" s="56"/>
      <c r="P44" s="56"/>
    </row>
    <row r="45" spans="1:16" ht="15" hidden="1" customHeight="1" x14ac:dyDescent="0.25">
      <c r="A45" s="13"/>
      <c r="B45" s="25"/>
      <c r="C45" s="14">
        <v>49</v>
      </c>
      <c r="D45" s="18" t="s">
        <v>40</v>
      </c>
      <c r="E45" s="143"/>
      <c r="F45" s="124"/>
      <c r="G45" s="10"/>
      <c r="H45" s="10"/>
      <c r="I45" s="10"/>
      <c r="K45" s="56"/>
      <c r="L45" s="111"/>
      <c r="M45" s="56"/>
      <c r="N45" s="56"/>
      <c r="O45" s="56"/>
      <c r="P45" s="56"/>
    </row>
    <row r="46" spans="1:16" ht="38.25" hidden="1" customHeight="1" x14ac:dyDescent="0.25">
      <c r="A46" s="13"/>
      <c r="B46" s="25">
        <v>37</v>
      </c>
      <c r="C46" s="14"/>
      <c r="D46" s="52" t="s">
        <v>45</v>
      </c>
      <c r="E46" s="140"/>
      <c r="F46" s="123"/>
      <c r="G46" s="10"/>
      <c r="H46" s="10"/>
      <c r="I46" s="10"/>
      <c r="K46" s="56"/>
      <c r="L46" s="111"/>
      <c r="M46" s="56"/>
      <c r="N46" s="56"/>
      <c r="O46" s="56"/>
      <c r="P46" s="56"/>
    </row>
    <row r="47" spans="1:16" ht="15" hidden="1" customHeight="1" x14ac:dyDescent="0.25">
      <c r="A47" s="13"/>
      <c r="B47" s="25"/>
      <c r="C47" s="14">
        <v>11</v>
      </c>
      <c r="D47" s="14" t="s">
        <v>11</v>
      </c>
      <c r="E47" s="143"/>
      <c r="F47" s="124"/>
      <c r="G47" s="10"/>
      <c r="H47" s="10"/>
      <c r="I47" s="10"/>
      <c r="K47" s="56"/>
      <c r="L47" s="111"/>
      <c r="M47" s="56"/>
      <c r="N47" s="56"/>
      <c r="O47" s="56"/>
      <c r="P47" s="56"/>
    </row>
    <row r="48" spans="1:16" ht="15" hidden="1" customHeight="1" x14ac:dyDescent="0.25">
      <c r="A48" s="13"/>
      <c r="B48" s="25">
        <v>38</v>
      </c>
      <c r="C48" s="14"/>
      <c r="D48" s="51" t="s">
        <v>46</v>
      </c>
      <c r="E48" s="140"/>
      <c r="F48" s="123"/>
      <c r="G48" s="10"/>
      <c r="H48" s="10"/>
      <c r="I48" s="10"/>
      <c r="K48" s="56"/>
      <c r="L48" s="111"/>
      <c r="M48" s="56"/>
      <c r="N48" s="56"/>
      <c r="O48" s="56"/>
      <c r="P48" s="56"/>
    </row>
    <row r="49" spans="1:16" ht="15" hidden="1" customHeight="1" x14ac:dyDescent="0.25">
      <c r="A49" s="13"/>
      <c r="B49" s="25"/>
      <c r="C49" s="14">
        <v>69</v>
      </c>
      <c r="D49" s="14" t="s">
        <v>42</v>
      </c>
      <c r="E49" s="143"/>
      <c r="F49" s="124"/>
      <c r="G49" s="10"/>
      <c r="H49" s="10"/>
      <c r="I49" s="10"/>
      <c r="K49" s="56"/>
      <c r="L49" s="111"/>
      <c r="M49" s="56"/>
      <c r="N49" s="56"/>
      <c r="O49" s="56"/>
      <c r="P49" s="56"/>
    </row>
    <row r="50" spans="1:16" ht="25.5" hidden="1" customHeight="1" x14ac:dyDescent="0.25">
      <c r="A50" s="15">
        <v>4</v>
      </c>
      <c r="B50" s="15"/>
      <c r="C50" s="15"/>
      <c r="D50" s="23" t="s">
        <v>15</v>
      </c>
      <c r="E50" s="140"/>
      <c r="F50" s="123"/>
      <c r="G50" s="10"/>
      <c r="H50" s="10"/>
      <c r="I50" s="10"/>
      <c r="K50" s="56"/>
      <c r="L50" s="111"/>
      <c r="M50" s="56"/>
      <c r="N50" s="56"/>
      <c r="O50" s="56"/>
      <c r="P50" s="56"/>
    </row>
    <row r="51" spans="1:16" ht="38.25" hidden="1" customHeight="1" x14ac:dyDescent="0.25">
      <c r="A51" s="16"/>
      <c r="B51" s="12">
        <v>42</v>
      </c>
      <c r="C51" s="12"/>
      <c r="D51" s="23" t="s">
        <v>37</v>
      </c>
      <c r="E51" s="140"/>
      <c r="F51" s="123"/>
      <c r="G51" s="10"/>
      <c r="H51" s="10"/>
      <c r="I51" s="11"/>
      <c r="K51" s="56"/>
      <c r="L51" s="111"/>
      <c r="M51" s="56"/>
      <c r="N51" s="56"/>
      <c r="O51" s="56"/>
      <c r="P51" s="56"/>
    </row>
    <row r="52" spans="1:16" ht="15" hidden="1" customHeight="1" x14ac:dyDescent="0.25">
      <c r="A52" s="16"/>
      <c r="B52" s="16"/>
      <c r="C52" s="14">
        <v>49</v>
      </c>
      <c r="D52" s="18" t="s">
        <v>40</v>
      </c>
      <c r="E52" s="143"/>
      <c r="F52" s="124"/>
      <c r="G52" s="10"/>
      <c r="H52" s="10"/>
      <c r="I52" s="11"/>
      <c r="K52" s="56"/>
      <c r="L52" s="111"/>
      <c r="M52" s="56"/>
      <c r="N52" s="56"/>
      <c r="O52" s="56"/>
      <c r="P52" s="56"/>
    </row>
    <row r="53" spans="1:16" ht="25.5" hidden="1" customHeight="1" x14ac:dyDescent="0.25">
      <c r="A53" s="16"/>
      <c r="B53" s="16"/>
      <c r="C53" s="14">
        <v>79</v>
      </c>
      <c r="D53" s="18" t="s">
        <v>43</v>
      </c>
      <c r="E53" s="143"/>
      <c r="F53" s="124"/>
      <c r="G53" s="10"/>
      <c r="H53" s="10"/>
      <c r="I53" s="11"/>
      <c r="K53" s="56"/>
      <c r="L53" s="111"/>
      <c r="M53" s="56"/>
      <c r="N53" s="56"/>
      <c r="O53" s="56"/>
      <c r="P53" s="56"/>
    </row>
    <row r="54" spans="1:16" ht="15" hidden="1" customHeight="1" x14ac:dyDescent="0.25">
      <c r="A54" s="212" t="s">
        <v>71</v>
      </c>
      <c r="B54" s="213"/>
      <c r="C54" s="213"/>
      <c r="D54" s="213"/>
      <c r="E54" s="214"/>
      <c r="F54" s="215"/>
      <c r="G54" s="216"/>
      <c r="H54" s="216"/>
      <c r="I54" s="208"/>
      <c r="K54" s="56"/>
      <c r="L54" s="111"/>
      <c r="M54" s="56"/>
      <c r="N54" s="56"/>
      <c r="O54" s="56"/>
      <c r="P54" s="56"/>
    </row>
    <row r="55" spans="1:16" ht="15" hidden="1" customHeight="1" x14ac:dyDescent="0.25">
      <c r="A55" s="213"/>
      <c r="B55" s="213"/>
      <c r="C55" s="213"/>
      <c r="D55" s="213"/>
      <c r="E55" s="214"/>
      <c r="F55" s="215"/>
      <c r="G55" s="216"/>
      <c r="H55" s="216"/>
      <c r="I55" s="208"/>
      <c r="K55" s="56"/>
      <c r="L55" s="111"/>
      <c r="M55" s="56"/>
      <c r="N55" s="56"/>
      <c r="O55" s="56"/>
      <c r="P55" s="56"/>
    </row>
    <row r="56" spans="1:16" ht="15" hidden="1" customHeight="1" x14ac:dyDescent="0.25">
      <c r="E56" s="156"/>
      <c r="F56" s="56"/>
      <c r="G56" s="56"/>
      <c r="H56" s="56"/>
      <c r="I56" s="56"/>
      <c r="K56" s="56"/>
      <c r="L56" s="111"/>
      <c r="M56" s="56"/>
      <c r="N56" s="56"/>
      <c r="O56" s="56"/>
      <c r="P56" s="56"/>
    </row>
    <row r="57" spans="1:16" ht="15" hidden="1" customHeight="1" x14ac:dyDescent="0.25">
      <c r="E57" s="156"/>
      <c r="F57" s="56"/>
      <c r="G57" s="56"/>
      <c r="H57" s="56"/>
      <c r="I57" s="56"/>
      <c r="K57" s="56"/>
      <c r="L57" s="111"/>
      <c r="M57" s="56"/>
      <c r="N57" s="56"/>
      <c r="O57" s="56"/>
      <c r="P57" s="56"/>
    </row>
    <row r="58" spans="1:16" hidden="1" x14ac:dyDescent="0.25">
      <c r="E58" s="156"/>
      <c r="F58" s="56"/>
      <c r="G58" s="56"/>
      <c r="H58" s="56"/>
      <c r="I58" s="56"/>
      <c r="K58" s="56"/>
      <c r="L58" s="111"/>
      <c r="M58" s="56"/>
      <c r="N58" s="56"/>
      <c r="O58" s="56"/>
      <c r="P58" s="56"/>
    </row>
    <row r="59" spans="1:16" hidden="1" x14ac:dyDescent="0.25">
      <c r="E59" s="156"/>
      <c r="F59" s="56"/>
      <c r="G59" s="56"/>
      <c r="H59" s="56"/>
      <c r="I59" s="56"/>
      <c r="K59" s="56"/>
      <c r="L59" s="111"/>
      <c r="M59" s="56"/>
      <c r="N59" s="56"/>
      <c r="O59" s="56"/>
      <c r="P59" s="56"/>
    </row>
    <row r="60" spans="1:16" hidden="1" x14ac:dyDescent="0.25">
      <c r="E60" s="156"/>
      <c r="F60" s="56"/>
      <c r="G60" s="56"/>
      <c r="H60" s="56"/>
      <c r="I60" s="56"/>
      <c r="K60" s="56"/>
      <c r="L60" s="111"/>
      <c r="M60" s="56"/>
      <c r="N60" s="56"/>
      <c r="O60" s="56"/>
      <c r="P60" s="56"/>
    </row>
    <row r="61" spans="1:16" hidden="1" x14ac:dyDescent="0.25">
      <c r="A61" s="209"/>
      <c r="B61" s="210"/>
      <c r="C61" s="210"/>
      <c r="D61" s="211"/>
      <c r="E61" s="158"/>
      <c r="F61" s="125"/>
      <c r="G61" s="162"/>
      <c r="H61" s="162"/>
      <c r="I61" s="162"/>
      <c r="K61" s="56"/>
      <c r="L61" s="111"/>
      <c r="M61" s="56"/>
      <c r="N61" s="56"/>
      <c r="O61" s="56"/>
      <c r="P61" s="56"/>
    </row>
    <row r="62" spans="1:16" hidden="1" x14ac:dyDescent="0.25">
      <c r="A62" s="217" t="s">
        <v>66</v>
      </c>
      <c r="B62" s="218"/>
      <c r="C62" s="218"/>
      <c r="D62" s="219"/>
      <c r="E62" s="141"/>
      <c r="F62" s="122"/>
      <c r="G62" s="49"/>
      <c r="H62" s="49"/>
      <c r="I62" s="49"/>
      <c r="K62" s="56"/>
      <c r="L62" s="111"/>
      <c r="M62" s="56"/>
      <c r="N62" s="56"/>
      <c r="O62" s="56"/>
      <c r="P62" s="56"/>
    </row>
    <row r="63" spans="1:16" ht="51" x14ac:dyDescent="0.25">
      <c r="A63" s="63"/>
      <c r="B63" s="51">
        <v>37</v>
      </c>
      <c r="C63" s="14"/>
      <c r="D63" s="27" t="s">
        <v>58</v>
      </c>
      <c r="E63" s="142">
        <f>185953.8/D38</f>
        <v>24680.310571371687</v>
      </c>
      <c r="F63" s="123">
        <v>37000</v>
      </c>
      <c r="G63" s="46">
        <v>40000</v>
      </c>
      <c r="H63" s="46">
        <f>I63-G63</f>
        <v>0</v>
      </c>
      <c r="I63" s="46">
        <v>40000</v>
      </c>
      <c r="K63" s="56"/>
    </row>
    <row r="64" spans="1:16" x14ac:dyDescent="0.25">
      <c r="A64" s="63"/>
      <c r="B64" s="51">
        <v>38</v>
      </c>
      <c r="C64" s="14"/>
      <c r="D64" s="68" t="s">
        <v>149</v>
      </c>
      <c r="E64" s="141">
        <v>0</v>
      </c>
      <c r="F64" s="123">
        <v>130</v>
      </c>
      <c r="G64" s="49">
        <v>0</v>
      </c>
      <c r="H64" s="49">
        <v>0</v>
      </c>
      <c r="I64" s="49">
        <v>0</v>
      </c>
      <c r="K64" s="56"/>
    </row>
    <row r="65" spans="1:11" ht="25.5" x14ac:dyDescent="0.25">
      <c r="A65" s="64">
        <v>4</v>
      </c>
      <c r="B65" s="64"/>
      <c r="C65" s="64"/>
      <c r="D65" s="65" t="s">
        <v>148</v>
      </c>
      <c r="E65" s="141">
        <f>80021.39/D38</f>
        <v>10620.663614042072</v>
      </c>
      <c r="F65" s="122">
        <v>23220</v>
      </c>
      <c r="G65" s="49">
        <v>3100</v>
      </c>
      <c r="H65" s="49">
        <f>I65-G65</f>
        <v>2100</v>
      </c>
      <c r="I65" s="49">
        <v>5200</v>
      </c>
      <c r="K65" s="56"/>
    </row>
    <row r="66" spans="1:11" ht="25.5" x14ac:dyDescent="0.25">
      <c r="A66" s="63"/>
      <c r="B66" s="64">
        <v>42</v>
      </c>
      <c r="C66" s="67"/>
      <c r="D66" s="65" t="s">
        <v>148</v>
      </c>
      <c r="E66" s="144">
        <v>10620.66</v>
      </c>
      <c r="F66" s="122">
        <v>23220</v>
      </c>
      <c r="G66" s="49">
        <v>3100</v>
      </c>
      <c r="H66" s="49">
        <f>I66-G66</f>
        <v>2100</v>
      </c>
      <c r="I66" s="49">
        <v>5200</v>
      </c>
      <c r="K66" s="56"/>
    </row>
    <row r="67" spans="1:11" x14ac:dyDescent="0.25">
      <c r="A67" s="220" t="s">
        <v>67</v>
      </c>
      <c r="B67" s="221"/>
      <c r="C67" s="221"/>
      <c r="D67" s="222"/>
      <c r="E67" s="145">
        <f>E65+E41</f>
        <v>2128570.6514221248</v>
      </c>
      <c r="F67" s="122">
        <f>F65+F41</f>
        <v>2309760</v>
      </c>
      <c r="G67" s="49">
        <f>SUM(G42,G43,G44,G63,G64,G66,)</f>
        <v>2383000</v>
      </c>
      <c r="H67" s="49">
        <f>I67-G67</f>
        <v>380800</v>
      </c>
      <c r="I67" s="49">
        <f>I66+I63+I44+I43+I42</f>
        <v>2763800</v>
      </c>
      <c r="J67" s="56"/>
      <c r="K67" s="56"/>
    </row>
    <row r="68" spans="1:11" x14ac:dyDescent="0.25">
      <c r="A68" s="223" t="s">
        <v>68</v>
      </c>
      <c r="B68" s="224"/>
      <c r="C68" s="224"/>
      <c r="D68" s="225"/>
      <c r="E68">
        <v>0</v>
      </c>
      <c r="F68" s="122">
        <v>0</v>
      </c>
      <c r="G68" s="49">
        <v>0</v>
      </c>
      <c r="H68" s="49">
        <v>0</v>
      </c>
      <c r="I68" s="49">
        <v>0</v>
      </c>
      <c r="K68" s="56"/>
    </row>
    <row r="69" spans="1:11" x14ac:dyDescent="0.25">
      <c r="A69" s="223" t="s">
        <v>69</v>
      </c>
      <c r="B69" s="224"/>
      <c r="C69" s="224"/>
      <c r="D69" s="225"/>
      <c r="E69" s="141">
        <f>E10-E67</f>
        <v>-23803.261422124691</v>
      </c>
      <c r="F69" s="122">
        <f>F19-F67</f>
        <v>-25635</v>
      </c>
      <c r="G69" s="49">
        <f>G19-G67</f>
        <v>-5000</v>
      </c>
      <c r="H69" s="49">
        <f>I69-G69</f>
        <v>-15500</v>
      </c>
      <c r="I69" s="55">
        <f>I19-I67</f>
        <v>-20500</v>
      </c>
      <c r="K69" s="56"/>
    </row>
    <row r="70" spans="1:11" ht="26.25" customHeight="1" x14ac:dyDescent="0.25">
      <c r="A70" s="223" t="s">
        <v>219</v>
      </c>
      <c r="B70" s="226"/>
      <c r="C70" s="226"/>
      <c r="D70" s="227"/>
      <c r="E70" s="141">
        <v>49438.7</v>
      </c>
      <c r="F70" s="122">
        <v>25635</v>
      </c>
      <c r="G70" s="49">
        <v>5000</v>
      </c>
      <c r="H70" s="49">
        <f>I70-G70</f>
        <v>15500</v>
      </c>
      <c r="I70" s="55">
        <v>20500</v>
      </c>
      <c r="K70" s="56"/>
    </row>
    <row r="72" spans="1:11" x14ac:dyDescent="0.25">
      <c r="E72">
        <v>25635</v>
      </c>
    </row>
    <row r="73" spans="1:11" x14ac:dyDescent="0.25">
      <c r="E73" s="56"/>
    </row>
  </sheetData>
  <mergeCells count="23">
    <mergeCell ref="A62:D62"/>
    <mergeCell ref="A67:D67"/>
    <mergeCell ref="A68:D68"/>
    <mergeCell ref="A69:D69"/>
    <mergeCell ref="A70:D70"/>
    <mergeCell ref="I54:I55"/>
    <mergeCell ref="A61:D61"/>
    <mergeCell ref="A19:D20"/>
    <mergeCell ref="E19:E20"/>
    <mergeCell ref="F19:F20"/>
    <mergeCell ref="A54:D55"/>
    <mergeCell ref="E54:E55"/>
    <mergeCell ref="F54:F55"/>
    <mergeCell ref="G54:G55"/>
    <mergeCell ref="H54:H55"/>
    <mergeCell ref="A1:J1"/>
    <mergeCell ref="A7:I7"/>
    <mergeCell ref="A37:I37"/>
    <mergeCell ref="A3:I3"/>
    <mergeCell ref="A5:I5"/>
    <mergeCell ref="G19:G20"/>
    <mergeCell ref="H19:H20"/>
    <mergeCell ref="I19:I2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8"/>
  <sheetViews>
    <sheetView topLeftCell="A35" workbookViewId="0">
      <selection activeCell="G59" sqref="G59"/>
    </sheetView>
  </sheetViews>
  <sheetFormatPr defaultRowHeight="15" x14ac:dyDescent="0.25"/>
  <cols>
    <col min="1" max="1" width="35.140625" customWidth="1"/>
    <col min="2" max="2" width="15.140625" customWidth="1"/>
    <col min="3" max="3" width="25.5703125" customWidth="1"/>
    <col min="4" max="4" width="25.140625" customWidth="1"/>
    <col min="5" max="5" width="24.42578125" customWidth="1"/>
    <col min="6" max="6" width="20.85546875" customWidth="1"/>
    <col min="9" max="9" width="15.140625" customWidth="1"/>
    <col min="10" max="10" width="17" customWidth="1"/>
    <col min="11" max="11" width="12.42578125" customWidth="1"/>
    <col min="12" max="12" width="14.140625" customWidth="1"/>
    <col min="13" max="13" width="12" customWidth="1"/>
    <col min="16" max="16" width="11.7109375" customWidth="1"/>
  </cols>
  <sheetData>
    <row r="1" spans="1:10" ht="39.75" customHeight="1" x14ac:dyDescent="0.25">
      <c r="A1" s="182" t="s">
        <v>212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ht="18" x14ac:dyDescent="0.25">
      <c r="A2" s="4"/>
      <c r="B2" s="4"/>
      <c r="C2" s="4"/>
      <c r="D2" s="4"/>
      <c r="E2" s="4"/>
      <c r="F2" s="4"/>
    </row>
    <row r="3" spans="1:10" ht="15.75" x14ac:dyDescent="0.25">
      <c r="A3" s="182" t="s">
        <v>21</v>
      </c>
      <c r="B3" s="182"/>
      <c r="C3" s="182"/>
      <c r="D3" s="182"/>
      <c r="E3" s="182"/>
      <c r="F3" s="182"/>
    </row>
    <row r="4" spans="1:10" ht="18" x14ac:dyDescent="0.25">
      <c r="B4" s="4"/>
      <c r="C4" s="4"/>
      <c r="D4" s="4"/>
      <c r="E4" s="5"/>
      <c r="F4" s="5"/>
    </row>
    <row r="5" spans="1:10" ht="15.75" x14ac:dyDescent="0.25">
      <c r="A5" s="182" t="s">
        <v>7</v>
      </c>
      <c r="B5" s="182"/>
      <c r="C5" s="182"/>
      <c r="D5" s="182"/>
      <c r="E5" s="182"/>
      <c r="F5" s="182"/>
    </row>
    <row r="6" spans="1:10" ht="15.75" x14ac:dyDescent="0.25">
      <c r="A6" s="182" t="s">
        <v>180</v>
      </c>
      <c r="B6" s="182"/>
      <c r="C6" s="182"/>
      <c r="D6" s="182"/>
      <c r="E6" s="182"/>
      <c r="F6" s="182"/>
    </row>
    <row r="7" spans="1:10" ht="15.75" x14ac:dyDescent="0.25">
      <c r="A7" s="127"/>
      <c r="B7" s="127"/>
      <c r="C7" s="127"/>
      <c r="D7" s="127"/>
      <c r="E7" s="127"/>
      <c r="F7" s="127"/>
    </row>
    <row r="8" spans="1:10" ht="15.75" x14ac:dyDescent="0.25">
      <c r="A8" s="178" t="s">
        <v>156</v>
      </c>
      <c r="B8" s="177">
        <v>7.5345000000000004</v>
      </c>
      <c r="C8" s="96"/>
      <c r="D8" s="7"/>
      <c r="E8" s="7"/>
      <c r="F8" s="100" t="s">
        <v>157</v>
      </c>
    </row>
    <row r="9" spans="1:10" ht="30" customHeight="1" x14ac:dyDescent="0.25">
      <c r="A9" s="21" t="s">
        <v>181</v>
      </c>
      <c r="B9" s="20" t="s">
        <v>177</v>
      </c>
      <c r="C9" s="21" t="s">
        <v>167</v>
      </c>
      <c r="D9" s="21" t="s">
        <v>178</v>
      </c>
      <c r="E9" s="21" t="s">
        <v>216</v>
      </c>
      <c r="F9" s="21" t="s">
        <v>215</v>
      </c>
    </row>
    <row r="10" spans="1:10" x14ac:dyDescent="0.25">
      <c r="A10" s="116" t="s">
        <v>0</v>
      </c>
      <c r="B10" s="146">
        <v>2104767.39</v>
      </c>
      <c r="C10" s="130">
        <v>2284125</v>
      </c>
      <c r="D10" s="130">
        <v>2378000</v>
      </c>
      <c r="E10" s="130">
        <f t="shared" ref="E10:E24" si="0">F10-D10</f>
        <v>385800</v>
      </c>
      <c r="F10" s="130">
        <f>F11+F13+F15+F17+F19+F21+F23</f>
        <v>2763800</v>
      </c>
      <c r="I10" s="56"/>
    </row>
    <row r="11" spans="1:10" ht="17.25" customHeight="1" x14ac:dyDescent="0.25">
      <c r="A11" s="23" t="s">
        <v>182</v>
      </c>
      <c r="B11" s="147">
        <f>11289123.42/B8</f>
        <v>1498324.1648417281</v>
      </c>
      <c r="C11" s="130">
        <v>1644510</v>
      </c>
      <c r="D11" s="130">
        <v>1742500</v>
      </c>
      <c r="E11" s="130">
        <f t="shared" si="0"/>
        <v>348200</v>
      </c>
      <c r="F11" s="130">
        <v>2090700</v>
      </c>
    </row>
    <row r="12" spans="1:10" x14ac:dyDescent="0.25">
      <c r="A12" s="14" t="s">
        <v>183</v>
      </c>
      <c r="B12" s="148">
        <v>1498324.16</v>
      </c>
      <c r="C12" s="131">
        <v>1644510</v>
      </c>
      <c r="D12" s="131">
        <v>1742500</v>
      </c>
      <c r="E12" s="131">
        <f t="shared" si="0"/>
        <v>348200</v>
      </c>
      <c r="F12" s="131">
        <v>2090700</v>
      </c>
      <c r="I12" s="99"/>
    </row>
    <row r="13" spans="1:10" x14ac:dyDescent="0.25">
      <c r="A13" s="51" t="s">
        <v>187</v>
      </c>
      <c r="B13" s="149">
        <f>15900/B8</f>
        <v>2110.2926537925541</v>
      </c>
      <c r="C13" s="120">
        <v>3710</v>
      </c>
      <c r="D13" s="120">
        <v>3200</v>
      </c>
      <c r="E13" s="120">
        <f t="shared" si="0"/>
        <v>900</v>
      </c>
      <c r="F13" s="120">
        <v>4100</v>
      </c>
    </row>
    <row r="14" spans="1:10" x14ac:dyDescent="0.25">
      <c r="A14" s="14" t="s">
        <v>195</v>
      </c>
      <c r="B14" s="148">
        <v>2110.29</v>
      </c>
      <c r="C14" s="131">
        <v>3710</v>
      </c>
      <c r="D14" s="131">
        <v>3200</v>
      </c>
      <c r="E14" s="131">
        <f t="shared" si="0"/>
        <v>900</v>
      </c>
      <c r="F14" s="131">
        <v>4100</v>
      </c>
    </row>
    <row r="15" spans="1:10" ht="18" customHeight="1" x14ac:dyDescent="0.25">
      <c r="A15" s="12" t="s">
        <v>184</v>
      </c>
      <c r="B15" s="150">
        <f>4401447.51/B8</f>
        <v>584172.47461676283</v>
      </c>
      <c r="C15" s="120">
        <v>617775</v>
      </c>
      <c r="D15" s="120">
        <v>615200</v>
      </c>
      <c r="E15" s="120">
        <f t="shared" si="0"/>
        <v>12200</v>
      </c>
      <c r="F15" s="120">
        <v>627400</v>
      </c>
    </row>
    <row r="16" spans="1:10" ht="27" customHeight="1" x14ac:dyDescent="0.25">
      <c r="A16" s="18" t="s">
        <v>206</v>
      </c>
      <c r="B16" s="151">
        <v>584172.47</v>
      </c>
      <c r="C16" s="131">
        <v>617775</v>
      </c>
      <c r="D16" s="131">
        <v>615200</v>
      </c>
      <c r="E16" s="131">
        <f t="shared" si="0"/>
        <v>12200</v>
      </c>
      <c r="F16" s="131">
        <v>627400</v>
      </c>
      <c r="H16" s="56"/>
      <c r="I16" s="56"/>
    </row>
    <row r="17" spans="1:6" x14ac:dyDescent="0.25">
      <c r="A17" s="116" t="s">
        <v>185</v>
      </c>
      <c r="B17" s="150">
        <f>121900/B8</f>
        <v>16178.910345742916</v>
      </c>
      <c r="C17" s="120">
        <v>17000</v>
      </c>
      <c r="D17" s="120">
        <v>17000</v>
      </c>
      <c r="E17" s="120">
        <f t="shared" si="0"/>
        <v>3500</v>
      </c>
      <c r="F17" s="119">
        <v>20500</v>
      </c>
    </row>
    <row r="18" spans="1:6" x14ac:dyDescent="0.25">
      <c r="A18" s="14" t="s">
        <v>210</v>
      </c>
      <c r="B18" s="151">
        <v>16178.91</v>
      </c>
      <c r="C18" s="131">
        <v>17000</v>
      </c>
      <c r="D18" s="131">
        <v>17000</v>
      </c>
      <c r="E18" s="131">
        <f t="shared" si="0"/>
        <v>3500</v>
      </c>
      <c r="F18" s="132">
        <v>20500</v>
      </c>
    </row>
    <row r="19" spans="1:6" x14ac:dyDescent="0.25">
      <c r="A19" s="126" t="s">
        <v>196</v>
      </c>
      <c r="B19" s="149">
        <v>0</v>
      </c>
      <c r="C19" s="120">
        <v>1130</v>
      </c>
      <c r="D19" s="120">
        <v>100</v>
      </c>
      <c r="E19" s="120">
        <f t="shared" si="0"/>
        <v>500</v>
      </c>
      <c r="F19" s="119">
        <v>600</v>
      </c>
    </row>
    <row r="20" spans="1:6" x14ac:dyDescent="0.25">
      <c r="A20" s="14" t="s">
        <v>208</v>
      </c>
      <c r="B20" s="151">
        <v>0</v>
      </c>
      <c r="C20" s="131">
        <v>1130</v>
      </c>
      <c r="D20" s="131">
        <v>100</v>
      </c>
      <c r="E20" s="131">
        <f t="shared" si="0"/>
        <v>500</v>
      </c>
      <c r="F20" s="132">
        <v>600</v>
      </c>
    </row>
    <row r="21" spans="1:6" x14ac:dyDescent="0.25">
      <c r="A21" s="126" t="s">
        <v>197</v>
      </c>
      <c r="B21" s="149">
        <f>29999/B8</f>
        <v>3981.5515296303665</v>
      </c>
      <c r="C21" s="135">
        <v>0</v>
      </c>
      <c r="D21" s="120">
        <v>0</v>
      </c>
      <c r="E21" s="120">
        <f t="shared" si="0"/>
        <v>0</v>
      </c>
      <c r="F21" s="119">
        <v>0</v>
      </c>
    </row>
    <row r="22" spans="1:6" x14ac:dyDescent="0.25">
      <c r="A22" s="14" t="s">
        <v>209</v>
      </c>
      <c r="B22" s="151">
        <v>3981.55</v>
      </c>
      <c r="C22" s="131">
        <v>0</v>
      </c>
      <c r="D22" s="131">
        <v>0</v>
      </c>
      <c r="E22" s="131">
        <f t="shared" si="0"/>
        <v>0</v>
      </c>
      <c r="F22" s="132">
        <v>0</v>
      </c>
    </row>
    <row r="23" spans="1:6" x14ac:dyDescent="0.25">
      <c r="A23" s="15" t="s">
        <v>204</v>
      </c>
      <c r="B23" s="152">
        <f>193150.28/B8</f>
        <v>25635.447607671376</v>
      </c>
      <c r="C23" s="134">
        <v>25635</v>
      </c>
      <c r="D23" s="134">
        <v>5000</v>
      </c>
      <c r="E23" s="134">
        <f t="shared" si="0"/>
        <v>15500</v>
      </c>
      <c r="F23" s="134">
        <v>20500</v>
      </c>
    </row>
    <row r="24" spans="1:6" x14ac:dyDescent="0.25">
      <c r="A24" s="57" t="s">
        <v>198</v>
      </c>
      <c r="B24" s="153">
        <v>25635.45</v>
      </c>
      <c r="C24" s="133">
        <v>25635</v>
      </c>
      <c r="D24" s="133">
        <v>5000</v>
      </c>
      <c r="E24" s="133">
        <f t="shared" si="0"/>
        <v>15500</v>
      </c>
      <c r="F24" s="133">
        <v>20500</v>
      </c>
    </row>
    <row r="25" spans="1:6" x14ac:dyDescent="0.25">
      <c r="B25" s="159"/>
      <c r="C25" s="160"/>
      <c r="D25" s="160"/>
      <c r="E25" s="160"/>
      <c r="F25" s="160"/>
    </row>
    <row r="26" spans="1:6" x14ac:dyDescent="0.25">
      <c r="B26" s="159"/>
      <c r="C26" s="160"/>
      <c r="D26" s="160"/>
      <c r="E26" s="160"/>
      <c r="F26" s="160"/>
    </row>
    <row r="27" spans="1:6" x14ac:dyDescent="0.25">
      <c r="B27" s="159"/>
      <c r="C27" s="160"/>
      <c r="D27" s="160"/>
      <c r="E27" s="160"/>
      <c r="F27" s="160"/>
    </row>
    <row r="28" spans="1:6" x14ac:dyDescent="0.25">
      <c r="B28" s="159"/>
      <c r="C28" s="160"/>
      <c r="D28" s="160"/>
      <c r="E28" s="160"/>
      <c r="F28" s="160"/>
    </row>
    <row r="29" spans="1:6" x14ac:dyDescent="0.25">
      <c r="B29" s="159"/>
      <c r="C29" s="160"/>
      <c r="D29" s="160"/>
      <c r="E29" s="160"/>
      <c r="F29" s="160"/>
    </row>
    <row r="30" spans="1:6" x14ac:dyDescent="0.25">
      <c r="B30" s="159"/>
      <c r="C30" s="160"/>
      <c r="D30" s="160"/>
      <c r="E30" s="160"/>
      <c r="F30" s="160"/>
    </row>
    <row r="31" spans="1:6" x14ac:dyDescent="0.25">
      <c r="B31" s="159"/>
      <c r="C31" s="160"/>
      <c r="D31" s="160"/>
      <c r="E31" s="160"/>
      <c r="F31" s="160"/>
    </row>
    <row r="32" spans="1:6" x14ac:dyDescent="0.25">
      <c r="B32" s="159"/>
      <c r="C32" s="160"/>
      <c r="D32" s="160"/>
      <c r="E32" s="160"/>
      <c r="F32" s="160"/>
    </row>
    <row r="33" spans="1:15" x14ac:dyDescent="0.25">
      <c r="B33" s="159"/>
      <c r="C33" s="160"/>
      <c r="D33" s="160"/>
      <c r="E33" s="160"/>
      <c r="F33" s="160"/>
    </row>
    <row r="34" spans="1:15" x14ac:dyDescent="0.25">
      <c r="B34" s="159"/>
      <c r="C34" s="160"/>
      <c r="D34" s="160"/>
      <c r="E34" s="160"/>
      <c r="F34" s="160"/>
    </row>
    <row r="35" spans="1:15" x14ac:dyDescent="0.25">
      <c r="B35" s="159"/>
      <c r="C35" s="160"/>
      <c r="D35" s="160"/>
      <c r="E35" s="160"/>
      <c r="F35" s="160"/>
    </row>
    <row r="36" spans="1:15" x14ac:dyDescent="0.25">
      <c r="B36" s="159"/>
      <c r="C36" s="160"/>
      <c r="D36" s="160"/>
      <c r="E36" s="160"/>
      <c r="F36" s="160"/>
    </row>
    <row r="38" spans="1:15" ht="15.75" x14ac:dyDescent="0.25">
      <c r="A38" s="182" t="s">
        <v>186</v>
      </c>
      <c r="B38" s="182"/>
      <c r="C38" s="182"/>
      <c r="D38" s="182"/>
      <c r="E38" s="182"/>
      <c r="F38" s="182"/>
    </row>
    <row r="39" spans="1:15" ht="18" x14ac:dyDescent="0.25">
      <c r="A39" s="4"/>
      <c r="B39" s="4"/>
      <c r="C39" s="4"/>
      <c r="D39" s="4"/>
      <c r="E39" s="5"/>
      <c r="F39" s="5"/>
    </row>
    <row r="40" spans="1:15" ht="23.25" customHeight="1" x14ac:dyDescent="0.25">
      <c r="A40" s="21" t="s">
        <v>181</v>
      </c>
      <c r="B40" s="20" t="s">
        <v>177</v>
      </c>
      <c r="C40" s="21" t="s">
        <v>167</v>
      </c>
      <c r="D40" s="21" t="s">
        <v>178</v>
      </c>
      <c r="E40" s="21" t="s">
        <v>216</v>
      </c>
      <c r="F40" s="21" t="s">
        <v>215</v>
      </c>
      <c r="I40" s="99"/>
      <c r="J40" s="99"/>
      <c r="K40" s="99"/>
      <c r="L40" s="99"/>
      <c r="M40" s="99"/>
      <c r="N40" s="99"/>
      <c r="O40" s="99"/>
    </row>
    <row r="41" spans="1:15" ht="19.5" customHeight="1" x14ac:dyDescent="0.25">
      <c r="A41" s="116" t="s">
        <v>1</v>
      </c>
      <c r="B41" s="146">
        <v>2128570.65</v>
      </c>
      <c r="C41" s="147">
        <v>2309760</v>
      </c>
      <c r="D41" s="130">
        <v>2383000</v>
      </c>
      <c r="E41" s="130">
        <f t="shared" ref="E41:E55" si="1">F41-D41</f>
        <v>380800</v>
      </c>
      <c r="F41" s="130">
        <v>2763800</v>
      </c>
      <c r="H41" s="56"/>
    </row>
    <row r="42" spans="1:15" ht="15.75" customHeight="1" x14ac:dyDescent="0.25">
      <c r="A42" s="23" t="s">
        <v>182</v>
      </c>
      <c r="B42" s="147">
        <v>1498324.16</v>
      </c>
      <c r="C42" s="130">
        <v>1644510</v>
      </c>
      <c r="D42" s="130">
        <v>1742500</v>
      </c>
      <c r="E42" s="130">
        <f t="shared" si="1"/>
        <v>348200</v>
      </c>
      <c r="F42" s="130">
        <v>2090700</v>
      </c>
      <c r="J42" s="99"/>
      <c r="L42" s="99"/>
    </row>
    <row r="43" spans="1:15" ht="15" customHeight="1" x14ac:dyDescent="0.25">
      <c r="A43" s="14" t="s">
        <v>183</v>
      </c>
      <c r="B43" s="148">
        <v>1498324.16</v>
      </c>
      <c r="C43" s="131">
        <v>1644510</v>
      </c>
      <c r="D43" s="131">
        <v>1742500</v>
      </c>
      <c r="E43" s="131">
        <f t="shared" si="1"/>
        <v>348200</v>
      </c>
      <c r="F43" s="131">
        <v>2090700</v>
      </c>
      <c r="I43" s="56"/>
      <c r="J43" s="99"/>
      <c r="L43" s="99"/>
    </row>
    <row r="44" spans="1:15" ht="12" customHeight="1" x14ac:dyDescent="0.25">
      <c r="A44" s="51" t="s">
        <v>187</v>
      </c>
      <c r="B44" s="149">
        <v>2110.29</v>
      </c>
      <c r="C44" s="120">
        <v>3710</v>
      </c>
      <c r="D44" s="120">
        <v>3200</v>
      </c>
      <c r="E44" s="120">
        <f t="shared" si="1"/>
        <v>900</v>
      </c>
      <c r="F44" s="120">
        <v>4100</v>
      </c>
      <c r="J44" s="99"/>
      <c r="L44" s="99"/>
    </row>
    <row r="45" spans="1:15" ht="18.75" customHeight="1" x14ac:dyDescent="0.25">
      <c r="A45" s="14" t="s">
        <v>195</v>
      </c>
      <c r="B45" s="148">
        <v>2110.29</v>
      </c>
      <c r="C45" s="131">
        <v>3710</v>
      </c>
      <c r="D45" s="131">
        <v>3200</v>
      </c>
      <c r="E45" s="131">
        <f t="shared" si="1"/>
        <v>900</v>
      </c>
      <c r="F45" s="131">
        <v>4100</v>
      </c>
      <c r="J45" s="99"/>
      <c r="L45" s="99"/>
    </row>
    <row r="46" spans="1:15" ht="13.5" customHeight="1" x14ac:dyDescent="0.25">
      <c r="A46" s="12" t="s">
        <v>184</v>
      </c>
      <c r="B46" s="150">
        <v>584172.47</v>
      </c>
      <c r="C46" s="120">
        <v>617775</v>
      </c>
      <c r="D46" s="120">
        <v>615200</v>
      </c>
      <c r="E46" s="120">
        <f t="shared" si="1"/>
        <v>12200</v>
      </c>
      <c r="F46" s="120">
        <v>627400</v>
      </c>
      <c r="J46" s="99"/>
      <c r="L46" s="99"/>
    </row>
    <row r="47" spans="1:15" x14ac:dyDescent="0.25">
      <c r="A47" s="18" t="s">
        <v>206</v>
      </c>
      <c r="B47" s="151">
        <v>584172.47</v>
      </c>
      <c r="C47" s="131">
        <v>617775</v>
      </c>
      <c r="D47" s="131">
        <v>615200</v>
      </c>
      <c r="E47" s="131">
        <f t="shared" si="1"/>
        <v>12200</v>
      </c>
      <c r="F47" s="131">
        <v>627400</v>
      </c>
      <c r="J47" s="99"/>
      <c r="L47" s="99"/>
    </row>
    <row r="48" spans="1:15" x14ac:dyDescent="0.25">
      <c r="A48" s="116" t="s">
        <v>185</v>
      </c>
      <c r="B48" s="150">
        <v>16178.91</v>
      </c>
      <c r="C48" s="120">
        <v>17000</v>
      </c>
      <c r="D48" s="120">
        <v>17000</v>
      </c>
      <c r="E48" s="120">
        <f t="shared" si="1"/>
        <v>3500</v>
      </c>
      <c r="F48" s="119">
        <v>20500</v>
      </c>
      <c r="J48" s="99"/>
      <c r="L48" s="99"/>
    </row>
    <row r="49" spans="1:12" x14ac:dyDescent="0.25">
      <c r="A49" s="14" t="s">
        <v>207</v>
      </c>
      <c r="B49" s="151">
        <v>16178.91</v>
      </c>
      <c r="C49" s="131">
        <v>17000</v>
      </c>
      <c r="D49" s="131">
        <v>17000</v>
      </c>
      <c r="E49" s="131">
        <f t="shared" si="1"/>
        <v>3500</v>
      </c>
      <c r="F49" s="132">
        <v>20500</v>
      </c>
      <c r="J49" s="99"/>
      <c r="L49" s="99"/>
    </row>
    <row r="50" spans="1:12" x14ac:dyDescent="0.25">
      <c r="A50" s="126" t="s">
        <v>196</v>
      </c>
      <c r="B50" s="149">
        <v>0</v>
      </c>
      <c r="C50" s="120">
        <v>1130</v>
      </c>
      <c r="D50" s="120">
        <v>100</v>
      </c>
      <c r="E50" s="120">
        <f t="shared" si="1"/>
        <v>500</v>
      </c>
      <c r="F50" s="119">
        <v>600</v>
      </c>
      <c r="J50" s="99"/>
      <c r="L50" s="99"/>
    </row>
    <row r="51" spans="1:12" x14ac:dyDescent="0.25">
      <c r="A51" s="14" t="s">
        <v>208</v>
      </c>
      <c r="B51" s="151">
        <v>0</v>
      </c>
      <c r="C51" s="131">
        <v>1130</v>
      </c>
      <c r="D51" s="131">
        <v>100</v>
      </c>
      <c r="E51" s="131">
        <f t="shared" si="1"/>
        <v>500</v>
      </c>
      <c r="F51" s="132">
        <v>600</v>
      </c>
      <c r="J51" s="99"/>
      <c r="L51" s="99"/>
    </row>
    <row r="52" spans="1:12" x14ac:dyDescent="0.25">
      <c r="A52" s="126" t="s">
        <v>197</v>
      </c>
      <c r="B52" s="149">
        <v>3981.55</v>
      </c>
      <c r="C52" s="135">
        <v>0</v>
      </c>
      <c r="D52" s="120">
        <v>0</v>
      </c>
      <c r="E52" s="120">
        <f t="shared" si="1"/>
        <v>0</v>
      </c>
      <c r="F52" s="119">
        <v>0</v>
      </c>
      <c r="J52" s="99"/>
      <c r="L52" s="99"/>
    </row>
    <row r="53" spans="1:12" x14ac:dyDescent="0.25">
      <c r="A53" s="14" t="s">
        <v>209</v>
      </c>
      <c r="B53" s="151">
        <v>3981.55</v>
      </c>
      <c r="C53" s="131">
        <v>0</v>
      </c>
      <c r="D53" s="131">
        <v>0</v>
      </c>
      <c r="E53" s="131">
        <f t="shared" si="1"/>
        <v>0</v>
      </c>
      <c r="F53" s="132">
        <v>0</v>
      </c>
      <c r="J53" s="99"/>
      <c r="L53" s="99"/>
    </row>
    <row r="54" spans="1:12" x14ac:dyDescent="0.25">
      <c r="A54" s="15" t="s">
        <v>204</v>
      </c>
      <c r="B54" s="152">
        <v>25635.45</v>
      </c>
      <c r="C54" s="134">
        <v>25635</v>
      </c>
      <c r="D54" s="134">
        <v>5000</v>
      </c>
      <c r="E54" s="134">
        <f t="shared" si="1"/>
        <v>15500</v>
      </c>
      <c r="F54" s="134">
        <v>20500</v>
      </c>
      <c r="J54" s="99"/>
      <c r="L54" s="99"/>
    </row>
    <row r="55" spans="1:12" x14ac:dyDescent="0.25">
      <c r="A55" s="57" t="s">
        <v>198</v>
      </c>
      <c r="B55" s="153">
        <v>25635.45</v>
      </c>
      <c r="C55" s="133">
        <v>25635</v>
      </c>
      <c r="D55" s="133">
        <v>5000</v>
      </c>
      <c r="E55" s="133">
        <f t="shared" si="1"/>
        <v>15500</v>
      </c>
      <c r="F55" s="133">
        <v>20500</v>
      </c>
      <c r="L55" s="99"/>
    </row>
    <row r="57" spans="1:12" x14ac:dyDescent="0.25">
      <c r="E57" s="56"/>
      <c r="F57" s="56"/>
      <c r="L57" s="99"/>
    </row>
    <row r="58" spans="1:12" x14ac:dyDescent="0.25">
      <c r="C58" s="56"/>
      <c r="F58" s="56"/>
    </row>
  </sheetData>
  <mergeCells count="5">
    <mergeCell ref="A3:F3"/>
    <mergeCell ref="A5:F5"/>
    <mergeCell ref="A6:F6"/>
    <mergeCell ref="A38:F38"/>
    <mergeCell ref="A1:J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0"/>
  <sheetViews>
    <sheetView topLeftCell="A32" workbookViewId="0">
      <selection activeCell="E18" sqref="E18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1" ht="42" customHeight="1" x14ac:dyDescent="0.25">
      <c r="A1" s="182" t="s">
        <v>212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1" ht="18" customHeight="1" x14ac:dyDescent="0.25">
      <c r="A2" s="4"/>
      <c r="B2" s="4"/>
      <c r="C2" s="4"/>
      <c r="D2" s="4"/>
      <c r="E2" s="4"/>
      <c r="F2" s="4"/>
    </row>
    <row r="3" spans="1:11" ht="15.75" x14ac:dyDescent="0.25">
      <c r="A3" s="182" t="s">
        <v>21</v>
      </c>
      <c r="B3" s="182"/>
      <c r="C3" s="182"/>
      <c r="D3" s="182"/>
      <c r="E3" s="183"/>
      <c r="F3" s="183"/>
    </row>
    <row r="4" spans="1:11" ht="18" x14ac:dyDescent="0.25">
      <c r="A4" s="4"/>
      <c r="B4" s="4"/>
      <c r="C4" s="4"/>
      <c r="D4" s="4"/>
      <c r="E4" s="5"/>
      <c r="F4" s="5"/>
    </row>
    <row r="5" spans="1:11" ht="18" customHeight="1" x14ac:dyDescent="0.25">
      <c r="A5" s="182" t="s">
        <v>7</v>
      </c>
      <c r="B5" s="193"/>
      <c r="C5" s="193"/>
      <c r="D5" s="193"/>
      <c r="E5" s="193"/>
      <c r="F5" s="193"/>
    </row>
    <row r="6" spans="1:11" ht="18" x14ac:dyDescent="0.25">
      <c r="A6" s="4"/>
      <c r="B6" s="4"/>
      <c r="C6" s="4"/>
      <c r="D6" s="4"/>
      <c r="E6" s="5"/>
      <c r="F6" s="5"/>
    </row>
    <row r="7" spans="1:11" ht="15.75" x14ac:dyDescent="0.25">
      <c r="A7" s="182" t="s">
        <v>16</v>
      </c>
      <c r="B7" s="204"/>
      <c r="C7" s="204"/>
      <c r="D7" s="204"/>
      <c r="E7" s="204"/>
      <c r="F7" s="204"/>
    </row>
    <row r="8" spans="1:11" ht="15.75" x14ac:dyDescent="0.25">
      <c r="A8" s="127"/>
      <c r="B8" s="129"/>
      <c r="C8" s="129"/>
      <c r="D8" s="129"/>
      <c r="E8" s="129"/>
      <c r="F8" s="129"/>
    </row>
    <row r="9" spans="1:11" ht="15.75" x14ac:dyDescent="0.25">
      <c r="A9" s="178" t="s">
        <v>156</v>
      </c>
      <c r="B9" s="177">
        <v>7.5345000000000004</v>
      </c>
      <c r="C9" s="96"/>
      <c r="D9" s="7"/>
      <c r="E9" s="7"/>
      <c r="F9" s="100" t="s">
        <v>157</v>
      </c>
    </row>
    <row r="10" spans="1:11" ht="32.25" customHeight="1" x14ac:dyDescent="0.25">
      <c r="A10" s="21" t="s">
        <v>181</v>
      </c>
      <c r="B10" s="20" t="s">
        <v>177</v>
      </c>
      <c r="C10" s="21" t="s">
        <v>167</v>
      </c>
      <c r="D10" s="21" t="s">
        <v>178</v>
      </c>
      <c r="E10" s="21" t="s">
        <v>216</v>
      </c>
      <c r="F10" s="21" t="s">
        <v>215</v>
      </c>
    </row>
    <row r="11" spans="1:11" ht="15.75" customHeight="1" x14ac:dyDescent="0.25">
      <c r="A11" s="12" t="s">
        <v>17</v>
      </c>
      <c r="B11" s="143">
        <v>2128570.65</v>
      </c>
      <c r="C11" s="10">
        <v>2309760</v>
      </c>
      <c r="D11" s="10">
        <v>2383000</v>
      </c>
      <c r="E11" s="10">
        <f>F11-D11</f>
        <v>380800</v>
      </c>
      <c r="F11" s="10">
        <v>2763800</v>
      </c>
    </row>
    <row r="12" spans="1:11" ht="15.75" customHeight="1" x14ac:dyDescent="0.25">
      <c r="A12" s="12" t="s">
        <v>47</v>
      </c>
      <c r="B12" s="143">
        <v>2128570.65</v>
      </c>
      <c r="C12" s="9">
        <v>2309760</v>
      </c>
      <c r="D12" s="9">
        <v>2383000</v>
      </c>
      <c r="E12" s="9">
        <f>F12-D12</f>
        <v>380800</v>
      </c>
      <c r="F12" s="9">
        <v>2763800</v>
      </c>
    </row>
    <row r="13" spans="1:11" x14ac:dyDescent="0.25">
      <c r="A13" s="18" t="s">
        <v>48</v>
      </c>
      <c r="B13" s="143">
        <f>B12-B15</f>
        <v>2027634.9542006769</v>
      </c>
      <c r="C13" s="10">
        <v>2187360</v>
      </c>
      <c r="D13" s="10">
        <f>D12-D15</f>
        <v>2270000</v>
      </c>
      <c r="E13" s="10">
        <f>F13-D13</f>
        <v>373300</v>
      </c>
      <c r="F13" s="10">
        <v>2643300</v>
      </c>
    </row>
    <row r="14" spans="1:11" x14ac:dyDescent="0.25">
      <c r="A14" s="17" t="s">
        <v>50</v>
      </c>
      <c r="B14" s="143">
        <v>2027634.95</v>
      </c>
      <c r="C14" s="10">
        <v>2187360</v>
      </c>
      <c r="D14" s="10">
        <v>2270000</v>
      </c>
      <c r="E14" s="10">
        <f>F14-D14</f>
        <v>373300</v>
      </c>
      <c r="F14" s="10">
        <f>F12-F15</f>
        <v>2643300</v>
      </c>
    </row>
    <row r="15" spans="1:11" x14ac:dyDescent="0.25">
      <c r="A15" s="19" t="s">
        <v>49</v>
      </c>
      <c r="B15" s="143">
        <f>760500/B9</f>
        <v>100935.6957993231</v>
      </c>
      <c r="C15" s="10">
        <v>122400</v>
      </c>
      <c r="D15" s="10">
        <v>113000</v>
      </c>
      <c r="E15" s="10">
        <f>F15-D15</f>
        <v>7500</v>
      </c>
      <c r="F15" s="11">
        <v>120500</v>
      </c>
      <c r="H15" s="56"/>
      <c r="I15" s="56"/>
      <c r="J15" s="56"/>
      <c r="K15" s="56"/>
    </row>
    <row r="20" spans="5:6" x14ac:dyDescent="0.25">
      <c r="E20" s="56"/>
      <c r="F20" s="56"/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7"/>
  <sheetViews>
    <sheetView workbookViewId="0">
      <selection activeCell="E7" sqref="E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182" t="s">
        <v>212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x14ac:dyDescent="0.25">
      <c r="A3" s="182" t="s">
        <v>21</v>
      </c>
      <c r="B3" s="182"/>
      <c r="C3" s="182"/>
      <c r="D3" s="182"/>
      <c r="E3" s="182"/>
      <c r="F3" s="182"/>
      <c r="G3" s="183"/>
      <c r="H3" s="183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182" t="s">
        <v>188</v>
      </c>
      <c r="B5" s="193"/>
      <c r="C5" s="193"/>
      <c r="D5" s="193"/>
      <c r="E5" s="193"/>
      <c r="F5" s="193"/>
      <c r="G5" s="193"/>
      <c r="H5" s="193"/>
    </row>
    <row r="6" spans="1:10" ht="18" customHeight="1" x14ac:dyDescent="0.25">
      <c r="A6" s="127"/>
      <c r="B6" s="128"/>
      <c r="C6" s="128"/>
      <c r="D6" s="128"/>
      <c r="E6" s="128"/>
      <c r="F6" s="128"/>
      <c r="G6" s="128"/>
      <c r="H6" s="128"/>
    </row>
    <row r="7" spans="1:10" ht="15.75" customHeight="1" x14ac:dyDescent="0.25">
      <c r="A7" s="228" t="s">
        <v>202</v>
      </c>
      <c r="B7" s="228"/>
      <c r="C7" s="228"/>
      <c r="D7" s="179">
        <v>7.5345000000000004</v>
      </c>
      <c r="E7" s="7"/>
      <c r="G7" s="5"/>
      <c r="H7" s="100" t="s">
        <v>157</v>
      </c>
    </row>
    <row r="8" spans="1:10" ht="30" customHeight="1" x14ac:dyDescent="0.25">
      <c r="A8" s="21" t="s">
        <v>8</v>
      </c>
      <c r="B8" s="20" t="s">
        <v>9</v>
      </c>
      <c r="C8" s="20" t="s">
        <v>38</v>
      </c>
      <c r="D8" s="20" t="s">
        <v>177</v>
      </c>
      <c r="E8" s="21" t="s">
        <v>167</v>
      </c>
      <c r="F8" s="21" t="s">
        <v>178</v>
      </c>
      <c r="G8" s="21" t="s">
        <v>216</v>
      </c>
      <c r="H8" s="21" t="s">
        <v>215</v>
      </c>
    </row>
    <row r="9" spans="1:10" s="117" customFormat="1" x14ac:dyDescent="0.25">
      <c r="A9" s="3"/>
      <c r="B9" s="66"/>
      <c r="C9" s="27" t="s">
        <v>189</v>
      </c>
      <c r="D9" s="66"/>
      <c r="E9" s="3"/>
      <c r="F9" s="3"/>
      <c r="G9" s="3"/>
      <c r="H9" s="3"/>
    </row>
    <row r="10" spans="1:10" ht="25.5" x14ac:dyDescent="0.25">
      <c r="A10" s="12">
        <v>8</v>
      </c>
      <c r="B10" s="12"/>
      <c r="C10" s="12" t="s">
        <v>18</v>
      </c>
      <c r="D10" s="9">
        <v>0</v>
      </c>
      <c r="E10" s="10">
        <v>0</v>
      </c>
      <c r="F10" s="10">
        <v>0</v>
      </c>
      <c r="G10" s="10">
        <v>0</v>
      </c>
      <c r="H10" s="10">
        <v>0</v>
      </c>
    </row>
    <row r="11" spans="1:10" x14ac:dyDescent="0.25">
      <c r="A11" s="12"/>
      <c r="B11" s="16">
        <v>84</v>
      </c>
      <c r="C11" s="16" t="s">
        <v>25</v>
      </c>
      <c r="D11" s="9"/>
      <c r="E11" s="10"/>
      <c r="F11" s="10"/>
      <c r="G11" s="10"/>
      <c r="H11" s="10"/>
    </row>
    <row r="12" spans="1:10" x14ac:dyDescent="0.25">
      <c r="A12" s="13"/>
      <c r="B12" s="13"/>
      <c r="C12" s="18"/>
      <c r="D12" s="9"/>
      <c r="E12" s="10"/>
      <c r="F12" s="10"/>
      <c r="G12" s="10"/>
      <c r="H12" s="10"/>
    </row>
    <row r="13" spans="1:10" x14ac:dyDescent="0.25">
      <c r="A13" s="13"/>
      <c r="B13" s="13"/>
      <c r="C13" s="27" t="s">
        <v>190</v>
      </c>
      <c r="D13" s="9"/>
      <c r="E13" s="10"/>
      <c r="F13" s="10"/>
      <c r="G13" s="10"/>
      <c r="H13" s="10"/>
    </row>
    <row r="14" spans="1:10" ht="25.5" x14ac:dyDescent="0.25">
      <c r="A14" s="15">
        <v>5</v>
      </c>
      <c r="B14" s="15"/>
      <c r="C14" s="23" t="s">
        <v>19</v>
      </c>
      <c r="D14" s="9">
        <v>0</v>
      </c>
      <c r="E14" s="10">
        <v>0</v>
      </c>
      <c r="F14" s="10">
        <v>0</v>
      </c>
      <c r="G14" s="10">
        <v>0</v>
      </c>
      <c r="H14" s="10">
        <v>0</v>
      </c>
    </row>
    <row r="15" spans="1:10" ht="25.5" x14ac:dyDescent="0.25">
      <c r="A15" s="16"/>
      <c r="B15" s="16">
        <v>54</v>
      </c>
      <c r="C15" s="24" t="s">
        <v>26</v>
      </c>
      <c r="D15" s="9"/>
      <c r="E15" s="10"/>
      <c r="F15" s="10"/>
      <c r="G15" s="10"/>
      <c r="H15" s="11"/>
    </row>
    <row r="16" spans="1:10" x14ac:dyDescent="0.25">
      <c r="A16" s="16"/>
      <c r="B16" s="16"/>
      <c r="C16" s="14"/>
      <c r="D16" s="9"/>
      <c r="E16" s="10"/>
      <c r="F16" s="10"/>
      <c r="G16" s="10"/>
      <c r="H16" s="11"/>
    </row>
    <row r="17" spans="1:8" x14ac:dyDescent="0.25">
      <c r="A17" s="16"/>
      <c r="B17" s="16"/>
      <c r="C17" s="14"/>
      <c r="D17" s="9"/>
      <c r="E17" s="10"/>
      <c r="F17" s="10"/>
      <c r="G17" s="10"/>
      <c r="H17" s="11"/>
    </row>
  </sheetData>
  <mergeCells count="4">
    <mergeCell ref="A3:H3"/>
    <mergeCell ref="A5:H5"/>
    <mergeCell ref="A7:C7"/>
    <mergeCell ref="A1:J1"/>
  </mergeCells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7"/>
  <sheetViews>
    <sheetView workbookViewId="0">
      <selection activeCell="E27" sqref="E27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182" t="s">
        <v>212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x14ac:dyDescent="0.25">
      <c r="A3" s="182" t="s">
        <v>21</v>
      </c>
      <c r="B3" s="182"/>
      <c r="C3" s="182"/>
      <c r="D3" s="182"/>
      <c r="E3" s="182"/>
      <c r="F3" s="182"/>
      <c r="G3" s="183"/>
      <c r="H3" s="183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182" t="s">
        <v>194</v>
      </c>
      <c r="B5" s="193"/>
      <c r="C5" s="193"/>
      <c r="D5" s="193"/>
      <c r="E5" s="193"/>
      <c r="F5" s="193"/>
      <c r="G5" s="193"/>
      <c r="H5" s="193"/>
    </row>
    <row r="6" spans="1:10" ht="18" customHeight="1" x14ac:dyDescent="0.25">
      <c r="A6" s="127"/>
      <c r="B6" s="128"/>
      <c r="C6" s="128"/>
      <c r="D6" s="128"/>
      <c r="E6" s="128"/>
      <c r="F6" s="128"/>
      <c r="G6" s="128"/>
      <c r="H6" s="128"/>
    </row>
    <row r="7" spans="1:10" ht="15.75" x14ac:dyDescent="0.25">
      <c r="A7" s="229" t="s">
        <v>201</v>
      </c>
      <c r="B7" s="229"/>
      <c r="C7" s="229"/>
      <c r="E7" s="5"/>
      <c r="F7" s="100" t="s">
        <v>157</v>
      </c>
    </row>
    <row r="8" spans="1:10" ht="33.75" customHeight="1" x14ac:dyDescent="0.25">
      <c r="A8" s="21" t="s">
        <v>181</v>
      </c>
      <c r="B8" s="20" t="s">
        <v>177</v>
      </c>
      <c r="C8" s="21" t="s">
        <v>167</v>
      </c>
      <c r="D8" s="21" t="s">
        <v>178</v>
      </c>
      <c r="E8" s="21" t="s">
        <v>216</v>
      </c>
      <c r="F8" s="21" t="s">
        <v>215</v>
      </c>
    </row>
    <row r="9" spans="1:10" s="117" customFormat="1" x14ac:dyDescent="0.25">
      <c r="A9" s="118" t="s">
        <v>189</v>
      </c>
      <c r="B9" s="66"/>
      <c r="C9" s="3"/>
      <c r="D9" s="3"/>
      <c r="E9" s="3"/>
      <c r="F9" s="3"/>
    </row>
    <row r="10" spans="1:10" ht="25.5" x14ac:dyDescent="0.25">
      <c r="A10" s="12" t="s">
        <v>191</v>
      </c>
      <c r="B10" s="9">
        <v>0</v>
      </c>
      <c r="C10" s="10">
        <v>0</v>
      </c>
      <c r="D10" s="10">
        <v>0</v>
      </c>
      <c r="E10" s="10">
        <v>0</v>
      </c>
      <c r="F10" s="10">
        <v>0</v>
      </c>
    </row>
    <row r="11" spans="1:10" ht="25.5" x14ac:dyDescent="0.25">
      <c r="A11" s="18" t="s">
        <v>192</v>
      </c>
      <c r="B11" s="9"/>
      <c r="C11" s="10"/>
      <c r="D11" s="10"/>
      <c r="E11" s="10"/>
      <c r="F11" s="10"/>
    </row>
    <row r="12" spans="1:10" x14ac:dyDescent="0.25">
      <c r="A12" s="18"/>
      <c r="B12" s="9"/>
      <c r="C12" s="10"/>
      <c r="D12" s="10"/>
      <c r="E12" s="10"/>
      <c r="F12" s="10"/>
    </row>
    <row r="13" spans="1:10" x14ac:dyDescent="0.25">
      <c r="A13" s="52" t="s">
        <v>190</v>
      </c>
      <c r="B13" s="9"/>
      <c r="C13" s="10"/>
      <c r="D13" s="10"/>
      <c r="E13" s="10"/>
      <c r="F13" s="10"/>
    </row>
    <row r="14" spans="1:10" x14ac:dyDescent="0.25">
      <c r="A14" s="23" t="s">
        <v>182</v>
      </c>
      <c r="B14" s="9">
        <v>0</v>
      </c>
      <c r="C14" s="10">
        <v>0</v>
      </c>
      <c r="D14" s="10">
        <v>0</v>
      </c>
      <c r="E14" s="10">
        <v>0</v>
      </c>
      <c r="F14" s="10">
        <v>0</v>
      </c>
    </row>
    <row r="15" spans="1:10" x14ac:dyDescent="0.25">
      <c r="A15" s="24" t="s">
        <v>193</v>
      </c>
      <c r="B15" s="9"/>
      <c r="C15" s="10"/>
      <c r="D15" s="10"/>
      <c r="E15" s="10"/>
      <c r="F15" s="11"/>
    </row>
    <row r="16" spans="1:10" x14ac:dyDescent="0.25">
      <c r="A16" s="51" t="s">
        <v>187</v>
      </c>
      <c r="B16" s="9"/>
      <c r="C16" s="10"/>
      <c r="D16" s="10"/>
      <c r="E16" s="10"/>
      <c r="F16" s="11"/>
    </row>
    <row r="17" spans="1:6" x14ac:dyDescent="0.25">
      <c r="A17" s="14" t="s">
        <v>211</v>
      </c>
      <c r="B17" s="9"/>
      <c r="C17" s="10"/>
      <c r="D17" s="10"/>
      <c r="E17" s="10"/>
      <c r="F17" s="11"/>
    </row>
  </sheetData>
  <mergeCells count="4">
    <mergeCell ref="A3:H3"/>
    <mergeCell ref="A5:H5"/>
    <mergeCell ref="A7:C7"/>
    <mergeCell ref="A1:J1"/>
  </mergeCells>
  <pageMargins left="0.7" right="0.7" top="0.75" bottom="0.75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54"/>
  <sheetViews>
    <sheetView tabSelected="1" topLeftCell="A32" workbookViewId="0">
      <selection activeCell="F59" sqref="F5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34" ht="42" customHeight="1" x14ac:dyDescent="0.25">
      <c r="A1" s="182" t="s">
        <v>212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34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34" ht="18" customHeight="1" x14ac:dyDescent="0.25">
      <c r="A3" s="182" t="s">
        <v>20</v>
      </c>
      <c r="B3" s="193"/>
      <c r="C3" s="193"/>
      <c r="D3" s="193"/>
      <c r="E3" s="193"/>
      <c r="F3" s="193"/>
      <c r="G3" s="193"/>
      <c r="H3" s="193"/>
      <c r="I3" s="193"/>
    </row>
    <row r="4" spans="1:34" ht="18" x14ac:dyDescent="0.25">
      <c r="A4" s="236" t="s">
        <v>156</v>
      </c>
      <c r="B4" s="236"/>
      <c r="C4" s="236"/>
      <c r="D4" s="177">
        <v>7.5345000000000004</v>
      </c>
      <c r="E4" s="4"/>
      <c r="F4" s="4"/>
      <c r="G4" s="4"/>
      <c r="H4" s="165"/>
      <c r="I4" s="100" t="s">
        <v>157</v>
      </c>
    </row>
    <row r="5" spans="1:34" ht="40.5" customHeight="1" x14ac:dyDescent="0.25">
      <c r="A5" s="233" t="s">
        <v>22</v>
      </c>
      <c r="B5" s="234"/>
      <c r="C5" s="235"/>
      <c r="D5" s="20" t="s">
        <v>23</v>
      </c>
      <c r="E5" s="20" t="s">
        <v>177</v>
      </c>
      <c r="F5" s="21" t="s">
        <v>167</v>
      </c>
      <c r="G5" s="21" t="s">
        <v>178</v>
      </c>
      <c r="H5" s="21" t="s">
        <v>216</v>
      </c>
      <c r="I5" s="21" t="s">
        <v>215</v>
      </c>
    </row>
    <row r="6" spans="1:34" x14ac:dyDescent="0.25">
      <c r="A6" s="230" t="s">
        <v>51</v>
      </c>
      <c r="B6" s="231"/>
      <c r="C6" s="232"/>
      <c r="D6" s="27" t="s">
        <v>52</v>
      </c>
      <c r="E6" s="140">
        <f>16037715.57/D4</f>
        <v>2128570.6510053752</v>
      </c>
      <c r="F6" s="45">
        <v>2309760</v>
      </c>
      <c r="G6" s="45">
        <v>2383000</v>
      </c>
      <c r="H6" s="70">
        <f>I6-G6</f>
        <v>380800</v>
      </c>
      <c r="I6" s="70">
        <v>2763800</v>
      </c>
    </row>
    <row r="7" spans="1:34" x14ac:dyDescent="0.25">
      <c r="A7" s="230" t="s">
        <v>53</v>
      </c>
      <c r="B7" s="231"/>
      <c r="C7" s="232"/>
      <c r="D7" s="27" t="s">
        <v>54</v>
      </c>
      <c r="E7" s="140">
        <f>15794361.77/D4</f>
        <v>2096272.0512310038</v>
      </c>
      <c r="F7" s="45">
        <v>2261560</v>
      </c>
      <c r="G7" s="46">
        <v>2331900</v>
      </c>
      <c r="H7" s="70">
        <f t="shared" ref="H7:H46" si="0">I7-G7</f>
        <v>377100</v>
      </c>
      <c r="I7" s="107">
        <v>2709000</v>
      </c>
    </row>
    <row r="8" spans="1:34" x14ac:dyDescent="0.25">
      <c r="A8" s="237" t="s">
        <v>55</v>
      </c>
      <c r="B8" s="238"/>
      <c r="C8" s="239"/>
      <c r="D8" s="40" t="s">
        <v>11</v>
      </c>
      <c r="E8" s="154">
        <f>11103169.62/D4</f>
        <v>1473643.8542703562</v>
      </c>
      <c r="F8" s="69">
        <v>1607510</v>
      </c>
      <c r="G8" s="71">
        <f>1670000+32500</f>
        <v>1702500</v>
      </c>
      <c r="H8" s="70">
        <f t="shared" si="0"/>
        <v>348200</v>
      </c>
      <c r="I8" s="71">
        <v>2050700</v>
      </c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</row>
    <row r="9" spans="1:34" x14ac:dyDescent="0.25">
      <c r="A9" s="240">
        <v>3</v>
      </c>
      <c r="B9" s="241"/>
      <c r="C9" s="242"/>
      <c r="D9" s="26" t="s">
        <v>13</v>
      </c>
      <c r="E9" s="143">
        <v>1473643.85</v>
      </c>
      <c r="F9" s="9">
        <v>1607510</v>
      </c>
      <c r="G9" s="10">
        <f>G10+G11</f>
        <v>1702500</v>
      </c>
      <c r="H9" s="180">
        <f t="shared" si="0"/>
        <v>348200</v>
      </c>
      <c r="I9" s="10">
        <v>2050700</v>
      </c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</row>
    <row r="10" spans="1:34" s="171" customFormat="1" x14ac:dyDescent="0.25">
      <c r="A10" s="243">
        <v>31</v>
      </c>
      <c r="B10" s="244"/>
      <c r="C10" s="245"/>
      <c r="D10" s="167" t="s">
        <v>14</v>
      </c>
      <c r="E10" s="168">
        <f>11042782.12/D4</f>
        <v>1465629.0556772179</v>
      </c>
      <c r="F10" s="169">
        <v>1599250</v>
      </c>
      <c r="G10" s="169">
        <f>1410700+32500+10600+5000+236500</f>
        <v>1695300</v>
      </c>
      <c r="H10" s="180">
        <f t="shared" si="0"/>
        <v>347200</v>
      </c>
      <c r="I10" s="170">
        <f>326200+1716300</f>
        <v>2042500</v>
      </c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</row>
    <row r="11" spans="1:34" s="171" customFormat="1" x14ac:dyDescent="0.25">
      <c r="A11" s="243">
        <v>32</v>
      </c>
      <c r="B11" s="244"/>
      <c r="C11" s="245"/>
      <c r="D11" s="167" t="s">
        <v>24</v>
      </c>
      <c r="E11" s="168">
        <f>60387.5/D4</f>
        <v>8014.79859313823</v>
      </c>
      <c r="F11" s="169">
        <v>8260</v>
      </c>
      <c r="G11" s="169">
        <f>4000+1500+1700</f>
        <v>7200</v>
      </c>
      <c r="H11" s="180">
        <f t="shared" si="0"/>
        <v>1000</v>
      </c>
      <c r="I11" s="169">
        <v>8200</v>
      </c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</row>
    <row r="12" spans="1:34" s="108" customFormat="1" x14ac:dyDescent="0.25">
      <c r="A12" s="237" t="s">
        <v>59</v>
      </c>
      <c r="B12" s="238"/>
      <c r="C12" s="239"/>
      <c r="D12" s="40" t="s">
        <v>27</v>
      </c>
      <c r="E12" s="154">
        <f>15900/D4</f>
        <v>2110.2926537925541</v>
      </c>
      <c r="F12" s="71">
        <v>3710</v>
      </c>
      <c r="G12" s="71">
        <v>3200</v>
      </c>
      <c r="H12" s="70">
        <f t="shared" si="0"/>
        <v>900</v>
      </c>
      <c r="I12" s="71">
        <v>4100</v>
      </c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</row>
    <row r="13" spans="1:34" x14ac:dyDescent="0.25">
      <c r="A13" s="240">
        <v>3</v>
      </c>
      <c r="B13" s="241"/>
      <c r="C13" s="242"/>
      <c r="D13" s="26" t="s">
        <v>13</v>
      </c>
      <c r="E13" s="143">
        <v>2110.29</v>
      </c>
      <c r="F13" s="10">
        <v>3710</v>
      </c>
      <c r="G13" s="10">
        <v>3200</v>
      </c>
      <c r="H13" s="180">
        <f t="shared" si="0"/>
        <v>900</v>
      </c>
      <c r="I13" s="10">
        <v>4100</v>
      </c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</row>
    <row r="14" spans="1:34" s="171" customFormat="1" x14ac:dyDescent="0.25">
      <c r="A14" s="243">
        <v>32</v>
      </c>
      <c r="B14" s="244"/>
      <c r="C14" s="245"/>
      <c r="D14" s="167" t="s">
        <v>24</v>
      </c>
      <c r="E14" s="168">
        <v>2110.29</v>
      </c>
      <c r="F14" s="169">
        <v>3710</v>
      </c>
      <c r="G14" s="169">
        <v>3200</v>
      </c>
      <c r="H14" s="180">
        <f t="shared" si="0"/>
        <v>900</v>
      </c>
      <c r="I14" s="169">
        <v>4100</v>
      </c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</row>
    <row r="15" spans="1:34" s="108" customFormat="1" ht="15" customHeight="1" x14ac:dyDescent="0.25">
      <c r="A15" s="237" t="s">
        <v>60</v>
      </c>
      <c r="B15" s="238"/>
      <c r="C15" s="239"/>
      <c r="D15" s="40" t="s">
        <v>40</v>
      </c>
      <c r="E15" s="161">
        <f>E16+E20</f>
        <v>584172.47290132067</v>
      </c>
      <c r="F15" s="69">
        <v>617775</v>
      </c>
      <c r="G15" s="109">
        <v>615200</v>
      </c>
      <c r="H15" s="70">
        <f>I15-G15</f>
        <v>12200</v>
      </c>
      <c r="I15" s="109">
        <v>627400</v>
      </c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1"/>
    </row>
    <row r="16" spans="1:34" ht="15" customHeight="1" x14ac:dyDescent="0.25">
      <c r="A16" s="240">
        <v>3</v>
      </c>
      <c r="B16" s="241"/>
      <c r="C16" s="242"/>
      <c r="D16" s="26" t="s">
        <v>13</v>
      </c>
      <c r="E16" s="143">
        <f>SUM(E17:E19)</f>
        <v>581514.91290132061</v>
      </c>
      <c r="F16" s="9">
        <v>599046</v>
      </c>
      <c r="G16" s="10">
        <f>G15-G20</f>
        <v>612100</v>
      </c>
      <c r="H16" s="180">
        <f>I16-G16</f>
        <v>10100</v>
      </c>
      <c r="I16" s="10">
        <f>627400-I20</f>
        <v>622200</v>
      </c>
      <c r="J16" s="56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</row>
    <row r="17" spans="1:34" s="171" customFormat="1" ht="15" customHeight="1" x14ac:dyDescent="0.25">
      <c r="A17" s="243">
        <v>31</v>
      </c>
      <c r="B17" s="244"/>
      <c r="C17" s="245"/>
      <c r="D17" s="167" t="s">
        <v>14</v>
      </c>
      <c r="E17" s="168">
        <f>1469563.28/D4</f>
        <v>195044.56566460946</v>
      </c>
      <c r="F17" s="169">
        <v>202708</v>
      </c>
      <c r="G17" s="169">
        <f>20400+3000+2700+8900+37400+6400+137800</f>
        <v>216600</v>
      </c>
      <c r="H17" s="180">
        <v>0</v>
      </c>
      <c r="I17" s="170">
        <v>216600</v>
      </c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</row>
    <row r="18" spans="1:34" s="171" customFormat="1" ht="15" customHeight="1" x14ac:dyDescent="0.25">
      <c r="A18" s="243">
        <v>32</v>
      </c>
      <c r="B18" s="244"/>
      <c r="C18" s="245"/>
      <c r="D18" s="167" t="s">
        <v>24</v>
      </c>
      <c r="E18" s="168">
        <v>383842.79</v>
      </c>
      <c r="F18" s="169">
        <v>393938</v>
      </c>
      <c r="G18" s="169">
        <f>G16-G17-G19</f>
        <v>393100</v>
      </c>
      <c r="H18" s="180">
        <v>9700</v>
      </c>
      <c r="I18" s="170">
        <v>402800</v>
      </c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</row>
    <row r="19" spans="1:34" ht="15" customHeight="1" x14ac:dyDescent="0.25">
      <c r="A19" s="246">
        <v>34</v>
      </c>
      <c r="B19" s="247"/>
      <c r="C19" s="248"/>
      <c r="D19" s="26" t="s">
        <v>44</v>
      </c>
      <c r="E19" s="143">
        <f>19797.33/D4</f>
        <v>2627.557236711129</v>
      </c>
      <c r="F19" s="10">
        <v>2400</v>
      </c>
      <c r="G19" s="10">
        <v>2400</v>
      </c>
      <c r="H19" s="180">
        <f t="shared" si="0"/>
        <v>400</v>
      </c>
      <c r="I19" s="10">
        <v>2800</v>
      </c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</row>
    <row r="20" spans="1:34" ht="25.5" x14ac:dyDescent="0.25">
      <c r="A20" s="240">
        <v>4</v>
      </c>
      <c r="B20" s="241"/>
      <c r="C20" s="242"/>
      <c r="D20" s="26" t="s">
        <v>15</v>
      </c>
      <c r="E20" s="143">
        <v>2657.56</v>
      </c>
      <c r="F20" s="10">
        <v>18729</v>
      </c>
      <c r="G20" s="10">
        <v>3100</v>
      </c>
      <c r="H20" s="180">
        <f t="shared" si="0"/>
        <v>2100</v>
      </c>
      <c r="I20" s="10">
        <v>5200</v>
      </c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</row>
    <row r="21" spans="1:34" ht="25.5" x14ac:dyDescent="0.25">
      <c r="A21" s="246">
        <v>42</v>
      </c>
      <c r="B21" s="247"/>
      <c r="C21" s="248"/>
      <c r="D21" s="26" t="s">
        <v>37</v>
      </c>
      <c r="E21" s="143">
        <v>2657.56</v>
      </c>
      <c r="F21" s="10">
        <v>18729</v>
      </c>
      <c r="G21" s="10">
        <v>3100</v>
      </c>
      <c r="H21" s="180">
        <f t="shared" si="0"/>
        <v>2100</v>
      </c>
      <c r="I21" s="10">
        <v>5200</v>
      </c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</row>
    <row r="22" spans="1:34" s="108" customFormat="1" x14ac:dyDescent="0.25">
      <c r="A22" s="237" t="s">
        <v>61</v>
      </c>
      <c r="B22" s="238"/>
      <c r="C22" s="239"/>
      <c r="D22" s="40" t="s">
        <v>64</v>
      </c>
      <c r="E22" s="154">
        <f>64500/D4</f>
        <v>8560.6211427433791</v>
      </c>
      <c r="F22" s="71">
        <v>5800</v>
      </c>
      <c r="G22" s="71">
        <v>5900</v>
      </c>
      <c r="H22" s="70">
        <f t="shared" si="0"/>
        <v>-200</v>
      </c>
      <c r="I22" s="71">
        <v>5700</v>
      </c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</row>
    <row r="23" spans="1:34" x14ac:dyDescent="0.25">
      <c r="A23" s="240">
        <v>3</v>
      </c>
      <c r="B23" s="241"/>
      <c r="C23" s="242"/>
      <c r="D23" s="26" t="s">
        <v>13</v>
      </c>
      <c r="E23" s="143">
        <v>8560.6200000000008</v>
      </c>
      <c r="F23" s="10">
        <v>5800</v>
      </c>
      <c r="G23" s="10">
        <v>5900</v>
      </c>
      <c r="H23" s="180">
        <f t="shared" si="0"/>
        <v>-200</v>
      </c>
      <c r="I23" s="10">
        <v>5700</v>
      </c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</row>
    <row r="24" spans="1:34" s="171" customFormat="1" x14ac:dyDescent="0.25">
      <c r="A24" s="243">
        <v>32</v>
      </c>
      <c r="B24" s="244"/>
      <c r="C24" s="245"/>
      <c r="D24" s="167" t="s">
        <v>24</v>
      </c>
      <c r="E24" s="168">
        <v>8560.6200000000008</v>
      </c>
      <c r="F24" s="169">
        <v>5800</v>
      </c>
      <c r="G24" s="169">
        <v>5900</v>
      </c>
      <c r="H24" s="180">
        <f t="shared" si="0"/>
        <v>-200</v>
      </c>
      <c r="I24" s="169">
        <v>5700</v>
      </c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</row>
    <row r="25" spans="1:34" s="108" customFormat="1" x14ac:dyDescent="0.25">
      <c r="A25" s="237" t="s">
        <v>62</v>
      </c>
      <c r="B25" s="238"/>
      <c r="C25" s="239"/>
      <c r="D25" s="40" t="s">
        <v>42</v>
      </c>
      <c r="E25" s="154">
        <v>0</v>
      </c>
      <c r="F25" s="71">
        <v>1130</v>
      </c>
      <c r="G25" s="71">
        <v>100</v>
      </c>
      <c r="H25" s="70">
        <f t="shared" si="0"/>
        <v>500</v>
      </c>
      <c r="I25" s="71">
        <v>600</v>
      </c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</row>
    <row r="26" spans="1:34" x14ac:dyDescent="0.25">
      <c r="A26" s="240">
        <v>3</v>
      </c>
      <c r="B26" s="241"/>
      <c r="C26" s="242"/>
      <c r="D26" s="26" t="s">
        <v>13</v>
      </c>
      <c r="E26" s="143">
        <v>0</v>
      </c>
      <c r="F26" s="10">
        <v>330</v>
      </c>
      <c r="G26" s="10">
        <v>100</v>
      </c>
      <c r="H26" s="180">
        <f t="shared" si="0"/>
        <v>500</v>
      </c>
      <c r="I26" s="10">
        <v>600</v>
      </c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</row>
    <row r="27" spans="1:34" s="171" customFormat="1" x14ac:dyDescent="0.25">
      <c r="A27" s="243">
        <v>32</v>
      </c>
      <c r="B27" s="244"/>
      <c r="C27" s="245"/>
      <c r="D27" s="167" t="s">
        <v>24</v>
      </c>
      <c r="E27" s="168">
        <v>0</v>
      </c>
      <c r="F27" s="169">
        <v>330</v>
      </c>
      <c r="G27" s="169">
        <v>100</v>
      </c>
      <c r="H27" s="180">
        <f t="shared" si="0"/>
        <v>500</v>
      </c>
      <c r="I27" s="169">
        <v>600</v>
      </c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</row>
    <row r="28" spans="1:34" ht="25.5" x14ac:dyDescent="0.25">
      <c r="A28" s="240">
        <v>4</v>
      </c>
      <c r="B28" s="241"/>
      <c r="C28" s="242"/>
      <c r="D28" s="26" t="s">
        <v>15</v>
      </c>
      <c r="E28" s="143">
        <v>0</v>
      </c>
      <c r="F28" s="10">
        <v>800</v>
      </c>
      <c r="G28" s="10">
        <v>0</v>
      </c>
      <c r="H28" s="180">
        <f t="shared" si="0"/>
        <v>0</v>
      </c>
      <c r="I28" s="11">
        <v>0</v>
      </c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</row>
    <row r="29" spans="1:34" ht="25.5" x14ac:dyDescent="0.25">
      <c r="A29" s="246">
        <v>42</v>
      </c>
      <c r="B29" s="247"/>
      <c r="C29" s="248"/>
      <c r="D29" s="26" t="s">
        <v>37</v>
      </c>
      <c r="E29" s="143">
        <v>0</v>
      </c>
      <c r="F29" s="10">
        <v>800</v>
      </c>
      <c r="G29" s="10">
        <v>0</v>
      </c>
      <c r="H29" s="180">
        <f t="shared" si="0"/>
        <v>0</v>
      </c>
      <c r="I29" s="11">
        <v>0</v>
      </c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</row>
    <row r="30" spans="1:34" s="108" customFormat="1" x14ac:dyDescent="0.25">
      <c r="A30" s="237" t="s">
        <v>205</v>
      </c>
      <c r="B30" s="238"/>
      <c r="C30" s="239"/>
      <c r="D30" s="40" t="s">
        <v>43</v>
      </c>
      <c r="E30" s="154">
        <f>29999/D4</f>
        <v>3981.5515296303665</v>
      </c>
      <c r="F30" s="71">
        <v>0</v>
      </c>
      <c r="G30" s="71">
        <v>0</v>
      </c>
      <c r="H30" s="70">
        <f t="shared" si="0"/>
        <v>0</v>
      </c>
      <c r="I30" s="110">
        <v>0</v>
      </c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</row>
    <row r="31" spans="1:34" ht="25.5" x14ac:dyDescent="0.25">
      <c r="A31" s="240">
        <v>4</v>
      </c>
      <c r="B31" s="241"/>
      <c r="C31" s="242"/>
      <c r="D31" s="26" t="s">
        <v>15</v>
      </c>
      <c r="E31" s="143">
        <v>3981.55</v>
      </c>
      <c r="F31" s="10">
        <v>0</v>
      </c>
      <c r="G31" s="10">
        <v>0</v>
      </c>
      <c r="H31" s="180">
        <f t="shared" si="0"/>
        <v>0</v>
      </c>
      <c r="I31" s="11">
        <v>0</v>
      </c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</row>
    <row r="32" spans="1:34" ht="25.5" x14ac:dyDescent="0.25">
      <c r="A32" s="246">
        <v>42</v>
      </c>
      <c r="B32" s="247"/>
      <c r="C32" s="248"/>
      <c r="D32" s="26" t="s">
        <v>37</v>
      </c>
      <c r="E32" s="143">
        <v>3981.55</v>
      </c>
      <c r="F32" s="10">
        <v>0</v>
      </c>
      <c r="G32" s="10">
        <v>0</v>
      </c>
      <c r="H32" s="180">
        <f t="shared" si="0"/>
        <v>0</v>
      </c>
      <c r="I32" s="11">
        <v>0</v>
      </c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</row>
    <row r="33" spans="1:34" s="108" customFormat="1" ht="15" customHeight="1" x14ac:dyDescent="0.25">
      <c r="A33" s="237" t="s">
        <v>199</v>
      </c>
      <c r="B33" s="238"/>
      <c r="C33" s="239"/>
      <c r="D33" s="40" t="s">
        <v>200</v>
      </c>
      <c r="E33" s="154">
        <v>23803.26</v>
      </c>
      <c r="F33" s="69">
        <v>25635</v>
      </c>
      <c r="G33" s="109">
        <v>5000</v>
      </c>
      <c r="H33" s="70">
        <f t="shared" si="0"/>
        <v>15500</v>
      </c>
      <c r="I33" s="109">
        <v>20500</v>
      </c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</row>
    <row r="34" spans="1:34" ht="15" customHeight="1" x14ac:dyDescent="0.25">
      <c r="A34" s="240">
        <v>3</v>
      </c>
      <c r="B34" s="241"/>
      <c r="C34" s="242"/>
      <c r="D34" s="26" t="s">
        <v>13</v>
      </c>
      <c r="E34" s="143"/>
      <c r="F34" s="9">
        <v>21944</v>
      </c>
      <c r="G34" s="10">
        <v>5000</v>
      </c>
      <c r="H34" s="180">
        <f t="shared" si="0"/>
        <v>15500</v>
      </c>
      <c r="I34" s="10">
        <v>20500</v>
      </c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</row>
    <row r="35" spans="1:34" s="171" customFormat="1" ht="15" customHeight="1" x14ac:dyDescent="0.25">
      <c r="A35" s="243">
        <v>31</v>
      </c>
      <c r="B35" s="244"/>
      <c r="C35" s="245"/>
      <c r="D35" s="167" t="s">
        <v>14</v>
      </c>
      <c r="E35" s="168">
        <v>0</v>
      </c>
      <c r="F35" s="169">
        <v>13272</v>
      </c>
      <c r="G35" s="169">
        <v>5000</v>
      </c>
      <c r="H35" s="180">
        <f t="shared" si="0"/>
        <v>7300</v>
      </c>
      <c r="I35" s="170">
        <f>I34-I36</f>
        <v>12300</v>
      </c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</row>
    <row r="36" spans="1:34" s="171" customFormat="1" ht="15" customHeight="1" x14ac:dyDescent="0.25">
      <c r="A36" s="243">
        <v>32</v>
      </c>
      <c r="B36" s="244"/>
      <c r="C36" s="245"/>
      <c r="D36" s="167" t="s">
        <v>24</v>
      </c>
      <c r="E36" s="168">
        <v>23803.26</v>
      </c>
      <c r="F36" s="169">
        <v>8542</v>
      </c>
      <c r="G36" s="169">
        <v>0</v>
      </c>
      <c r="H36" s="180">
        <f t="shared" si="0"/>
        <v>8200</v>
      </c>
      <c r="I36" s="170">
        <v>8200</v>
      </c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</row>
    <row r="37" spans="1:34" ht="15" customHeight="1" x14ac:dyDescent="0.25">
      <c r="A37" s="246">
        <v>38</v>
      </c>
      <c r="B37" s="247"/>
      <c r="C37" s="248"/>
      <c r="D37" s="26" t="s">
        <v>46</v>
      </c>
      <c r="E37" s="143">
        <v>0</v>
      </c>
      <c r="F37" s="10">
        <v>130</v>
      </c>
      <c r="G37" s="10">
        <v>0</v>
      </c>
      <c r="H37" s="180">
        <f t="shared" si="0"/>
        <v>0</v>
      </c>
      <c r="I37" s="10">
        <v>0</v>
      </c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</row>
    <row r="38" spans="1:34" ht="25.5" x14ac:dyDescent="0.25">
      <c r="A38" s="240">
        <v>4</v>
      </c>
      <c r="B38" s="241"/>
      <c r="C38" s="242"/>
      <c r="D38" s="26" t="s">
        <v>15</v>
      </c>
      <c r="E38" s="143">
        <v>0</v>
      </c>
      <c r="F38" s="10">
        <v>3691</v>
      </c>
      <c r="G38" s="10">
        <v>0</v>
      </c>
      <c r="H38" s="180">
        <f t="shared" si="0"/>
        <v>0</v>
      </c>
      <c r="I38" s="10">
        <v>0</v>
      </c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</row>
    <row r="39" spans="1:34" ht="25.5" x14ac:dyDescent="0.25">
      <c r="A39" s="246">
        <v>42</v>
      </c>
      <c r="B39" s="247"/>
      <c r="C39" s="248"/>
      <c r="D39" s="26" t="s">
        <v>37</v>
      </c>
      <c r="E39" s="143">
        <v>0</v>
      </c>
      <c r="F39" s="10">
        <v>3691</v>
      </c>
      <c r="G39" s="10">
        <v>0</v>
      </c>
      <c r="H39" s="180">
        <f t="shared" si="0"/>
        <v>0</v>
      </c>
      <c r="I39" s="10">
        <v>0</v>
      </c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</row>
    <row r="40" spans="1:34" ht="28.5" customHeight="1" x14ac:dyDescent="0.25">
      <c r="A40" s="230" t="s">
        <v>56</v>
      </c>
      <c r="B40" s="231"/>
      <c r="C40" s="232"/>
      <c r="D40" s="27" t="s">
        <v>57</v>
      </c>
      <c r="E40" s="140">
        <f>E41+E44</f>
        <v>32298.599202999536</v>
      </c>
      <c r="F40" s="45">
        <v>48200</v>
      </c>
      <c r="G40" s="46">
        <f>G41+G44</f>
        <v>51100</v>
      </c>
      <c r="H40" s="70">
        <f t="shared" si="0"/>
        <v>3700</v>
      </c>
      <c r="I40" s="46">
        <v>54800</v>
      </c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</row>
    <row r="41" spans="1:34" s="108" customFormat="1" ht="15" customHeight="1" x14ac:dyDescent="0.25">
      <c r="A41" s="237" t="s">
        <v>61</v>
      </c>
      <c r="B41" s="238"/>
      <c r="C41" s="239"/>
      <c r="D41" s="40" t="s">
        <v>64</v>
      </c>
      <c r="E41" s="154">
        <f>57400/D4</f>
        <v>7618.2892029995346</v>
      </c>
      <c r="F41" s="71">
        <v>11200</v>
      </c>
      <c r="G41" s="71">
        <v>11100</v>
      </c>
      <c r="H41" s="180">
        <f t="shared" si="0"/>
        <v>3700</v>
      </c>
      <c r="I41" s="71">
        <v>14800</v>
      </c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</row>
    <row r="42" spans="1:34" x14ac:dyDescent="0.25">
      <c r="A42" s="240">
        <v>3</v>
      </c>
      <c r="B42" s="241"/>
      <c r="C42" s="242"/>
      <c r="D42" s="26" t="s">
        <v>13</v>
      </c>
      <c r="E42" s="143">
        <v>7618.29</v>
      </c>
      <c r="F42" s="10">
        <v>11200</v>
      </c>
      <c r="G42" s="10">
        <v>11100</v>
      </c>
      <c r="H42" s="180">
        <f t="shared" si="0"/>
        <v>3700</v>
      </c>
      <c r="I42" s="10">
        <v>14800</v>
      </c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</row>
    <row r="43" spans="1:34" s="171" customFormat="1" x14ac:dyDescent="0.25">
      <c r="A43" s="243">
        <v>32</v>
      </c>
      <c r="B43" s="244"/>
      <c r="C43" s="245"/>
      <c r="D43" s="167" t="s">
        <v>24</v>
      </c>
      <c r="E43" s="168">
        <v>7618.29</v>
      </c>
      <c r="F43" s="169">
        <v>11200</v>
      </c>
      <c r="G43" s="169">
        <v>11100</v>
      </c>
      <c r="H43" s="180">
        <f t="shared" si="0"/>
        <v>3700</v>
      </c>
      <c r="I43" s="169">
        <v>14800</v>
      </c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</row>
    <row r="44" spans="1:34" s="108" customFormat="1" x14ac:dyDescent="0.25">
      <c r="A44" s="237" t="s">
        <v>55</v>
      </c>
      <c r="B44" s="238"/>
      <c r="C44" s="239"/>
      <c r="D44" s="40" t="s">
        <v>11</v>
      </c>
      <c r="E44" s="154">
        <v>24680.31</v>
      </c>
      <c r="F44" s="71">
        <v>37000</v>
      </c>
      <c r="G44" s="71">
        <v>40000</v>
      </c>
      <c r="H44" s="70">
        <f t="shared" si="0"/>
        <v>0</v>
      </c>
      <c r="I44" s="71">
        <v>40000</v>
      </c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</row>
    <row r="45" spans="1:34" x14ac:dyDescent="0.25">
      <c r="A45" s="240">
        <v>3</v>
      </c>
      <c r="B45" s="241"/>
      <c r="C45" s="242"/>
      <c r="D45" s="26" t="s">
        <v>13</v>
      </c>
      <c r="E45" s="143">
        <v>24680.31</v>
      </c>
      <c r="F45" s="10">
        <v>37000</v>
      </c>
      <c r="G45" s="10">
        <v>40000</v>
      </c>
      <c r="H45" s="180">
        <f t="shared" si="0"/>
        <v>0</v>
      </c>
      <c r="I45" s="10">
        <v>40000</v>
      </c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</row>
    <row r="46" spans="1:34" ht="38.25" x14ac:dyDescent="0.25">
      <c r="A46" s="246">
        <v>37</v>
      </c>
      <c r="B46" s="247"/>
      <c r="C46" s="248"/>
      <c r="D46" s="26" t="s">
        <v>58</v>
      </c>
      <c r="E46" s="143">
        <f>185953.8/D4</f>
        <v>24680.310571371687</v>
      </c>
      <c r="F46" s="10">
        <v>37000</v>
      </c>
      <c r="G46" s="10">
        <v>40000</v>
      </c>
      <c r="H46" s="180">
        <f t="shared" si="0"/>
        <v>0</v>
      </c>
      <c r="I46" s="10">
        <v>40000</v>
      </c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</row>
    <row r="47" spans="1:34" x14ac:dyDescent="0.25">
      <c r="A47" s="93"/>
      <c r="B47" s="93"/>
      <c r="C47" s="93"/>
      <c r="D47" s="93"/>
      <c r="E47" s="93"/>
      <c r="F47" s="93"/>
      <c r="G47" s="93"/>
      <c r="H47" s="93"/>
      <c r="I47" s="93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</row>
    <row r="48" spans="1:34" x14ac:dyDescent="0.25">
      <c r="A48" s="92"/>
      <c r="B48" s="92"/>
      <c r="C48" s="92"/>
      <c r="D48" s="92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</row>
    <row r="51" spans="1:8" x14ac:dyDescent="0.25">
      <c r="A51" t="s">
        <v>150</v>
      </c>
      <c r="B51" t="s">
        <v>220</v>
      </c>
    </row>
    <row r="52" spans="1:8" x14ac:dyDescent="0.25">
      <c r="A52" t="s">
        <v>217</v>
      </c>
      <c r="B52" t="s">
        <v>221</v>
      </c>
    </row>
    <row r="53" spans="1:8" x14ac:dyDescent="0.25">
      <c r="A53" t="s">
        <v>218</v>
      </c>
      <c r="H53" t="s">
        <v>152</v>
      </c>
    </row>
    <row r="54" spans="1:8" x14ac:dyDescent="0.25">
      <c r="H54" t="s">
        <v>153</v>
      </c>
    </row>
  </sheetData>
  <mergeCells count="45">
    <mergeCell ref="A39:C39"/>
    <mergeCell ref="A45:C45"/>
    <mergeCell ref="A46:C46"/>
    <mergeCell ref="A28:C28"/>
    <mergeCell ref="A29:C29"/>
    <mergeCell ref="A35:C35"/>
    <mergeCell ref="A36:C36"/>
    <mergeCell ref="A12:C12"/>
    <mergeCell ref="A13:C13"/>
    <mergeCell ref="A16:C16"/>
    <mergeCell ref="A14:C14"/>
    <mergeCell ref="A44:C44"/>
    <mergeCell ref="A17:C17"/>
    <mergeCell ref="A18:C18"/>
    <mergeCell ref="A19:C19"/>
    <mergeCell ref="A22:C22"/>
    <mergeCell ref="A23:C23"/>
    <mergeCell ref="A24:C24"/>
    <mergeCell ref="A25:C25"/>
    <mergeCell ref="A26:C26"/>
    <mergeCell ref="A33:C33"/>
    <mergeCell ref="A37:C37"/>
    <mergeCell ref="A38:C38"/>
    <mergeCell ref="A8:C8"/>
    <mergeCell ref="A9:C9"/>
    <mergeCell ref="A11:C11"/>
    <mergeCell ref="A10:C10"/>
    <mergeCell ref="A43:C43"/>
    <mergeCell ref="A42:C42"/>
    <mergeCell ref="A15:C15"/>
    <mergeCell ref="A30:C30"/>
    <mergeCell ref="A31:C31"/>
    <mergeCell ref="A32:C32"/>
    <mergeCell ref="A27:C27"/>
    <mergeCell ref="A20:C20"/>
    <mergeCell ref="A21:C21"/>
    <mergeCell ref="A40:C40"/>
    <mergeCell ref="A41:C41"/>
    <mergeCell ref="A34:C34"/>
    <mergeCell ref="A6:C6"/>
    <mergeCell ref="A7:C7"/>
    <mergeCell ref="A3:I3"/>
    <mergeCell ref="A5:C5"/>
    <mergeCell ref="A1:J1"/>
    <mergeCell ref="A4:C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41"/>
  <sheetViews>
    <sheetView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H107" sqref="H10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82" t="s">
        <v>36</v>
      </c>
      <c r="B1" s="182"/>
      <c r="C1" s="182"/>
      <c r="D1" s="182"/>
      <c r="E1" s="182"/>
      <c r="F1" s="182"/>
      <c r="G1" s="182"/>
      <c r="H1" s="182"/>
      <c r="I1" s="182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82" t="s">
        <v>20</v>
      </c>
      <c r="B3" s="193"/>
      <c r="C3" s="193"/>
      <c r="D3" s="193"/>
      <c r="E3" s="193"/>
      <c r="F3" s="193"/>
      <c r="G3" s="193"/>
      <c r="H3" s="193"/>
      <c r="I3" s="193"/>
    </row>
    <row r="4" spans="1:9" ht="18" x14ac:dyDescent="0.25">
      <c r="A4" s="252" t="s">
        <v>155</v>
      </c>
      <c r="B4" s="253"/>
      <c r="C4" s="253"/>
      <c r="D4" s="100" t="s">
        <v>157</v>
      </c>
      <c r="E4" s="4"/>
      <c r="F4" s="4"/>
      <c r="G4" s="4"/>
      <c r="H4" s="101" t="s">
        <v>156</v>
      </c>
      <c r="I4" s="98">
        <v>7.5345000000000004</v>
      </c>
    </row>
    <row r="5" spans="1:9" ht="25.5" x14ac:dyDescent="0.25">
      <c r="A5" s="233" t="s">
        <v>22</v>
      </c>
      <c r="B5" s="234"/>
      <c r="C5" s="235"/>
      <c r="D5" s="20" t="s">
        <v>23</v>
      </c>
      <c r="E5" s="20" t="s">
        <v>4</v>
      </c>
      <c r="F5" s="21" t="s">
        <v>5</v>
      </c>
      <c r="G5" s="21" t="s">
        <v>30</v>
      </c>
      <c r="H5" s="21" t="s">
        <v>31</v>
      </c>
      <c r="I5" s="21" t="s">
        <v>32</v>
      </c>
    </row>
    <row r="6" spans="1:9" x14ac:dyDescent="0.25">
      <c r="A6" s="230" t="s">
        <v>51</v>
      </c>
      <c r="B6" s="231"/>
      <c r="C6" s="232"/>
      <c r="D6" s="27" t="s">
        <v>52</v>
      </c>
      <c r="E6" s="45">
        <f>(E7+E126)</f>
        <v>2035862.0718030389</v>
      </c>
      <c r="F6" s="45">
        <f>(F7+F126)</f>
        <v>2156281.1069082217</v>
      </c>
      <c r="G6" s="46">
        <v>2268896.4098480321</v>
      </c>
      <c r="H6" s="46">
        <f>(H7+H126)</f>
        <v>2296635.4789156546</v>
      </c>
      <c r="I6" s="46">
        <f>(I7+I126)</f>
        <v>2302740.7259937618</v>
      </c>
    </row>
    <row r="7" spans="1:9" x14ac:dyDescent="0.25">
      <c r="A7" s="230" t="s">
        <v>53</v>
      </c>
      <c r="B7" s="231"/>
      <c r="C7" s="232"/>
      <c r="D7" s="27" t="s">
        <v>54</v>
      </c>
      <c r="E7" s="45">
        <f>(E8+E20+E34+E107+E110+E116+E122)</f>
        <v>2005589.0185148313</v>
      </c>
      <c r="F7" s="45">
        <f>(SUM(F8,F20,F26,F110,F116,F122))</f>
        <v>2119583.2503815778</v>
      </c>
      <c r="G7" s="46">
        <v>2225164.2444754131</v>
      </c>
      <c r="H7" s="46">
        <f>(H8+H20+H26+H110+H116+H122)</f>
        <v>2252903.3135430352</v>
      </c>
      <c r="I7" s="46">
        <f>(I8+I20+I26+I110+I116+I122)</f>
        <v>2259008.5606211424</v>
      </c>
    </row>
    <row r="8" spans="1:9" x14ac:dyDescent="0.25">
      <c r="A8" s="249" t="s">
        <v>55</v>
      </c>
      <c r="B8" s="250"/>
      <c r="C8" s="251"/>
      <c r="D8" s="59" t="s">
        <v>11</v>
      </c>
      <c r="E8" s="45">
        <f>(E9)</f>
        <v>1460310.8089455168</v>
      </c>
      <c r="F8" s="45">
        <f>(F9)</f>
        <v>1495786.0508328357</v>
      </c>
      <c r="G8" s="46">
        <v>1604353.3081159997</v>
      </c>
      <c r="H8" s="46">
        <f>(H9)</f>
        <v>1571836.2200544162</v>
      </c>
      <c r="I8" s="46">
        <f>(I9)</f>
        <v>1583117.6587696592</v>
      </c>
    </row>
    <row r="9" spans="1:9" x14ac:dyDescent="0.25">
      <c r="A9" s="240">
        <v>3</v>
      </c>
      <c r="B9" s="241"/>
      <c r="C9" s="242"/>
      <c r="D9" s="26" t="s">
        <v>13</v>
      </c>
      <c r="E9" s="9">
        <f>(E10+E16)</f>
        <v>1460310.8089455168</v>
      </c>
      <c r="F9" s="9">
        <f>(F10+F16)</f>
        <v>1495786.0508328357</v>
      </c>
      <c r="G9" s="10">
        <v>1604353.3081159997</v>
      </c>
      <c r="H9" s="10">
        <f>(H10+H16)</f>
        <v>1571836.2200544162</v>
      </c>
      <c r="I9" s="10">
        <f>(I10+I16)</f>
        <v>1583117.6587696592</v>
      </c>
    </row>
    <row r="10" spans="1:9" x14ac:dyDescent="0.25">
      <c r="A10" s="72">
        <v>31</v>
      </c>
      <c r="B10" s="73"/>
      <c r="C10" s="26"/>
      <c r="D10" s="26" t="s">
        <v>14</v>
      </c>
      <c r="E10" s="9">
        <f>(SUM(E11:E15))</f>
        <v>1452119.1572101661</v>
      </c>
      <c r="F10" s="9">
        <f>(SUM(F11:F15))</f>
        <v>1487358.1524985069</v>
      </c>
      <c r="G10" s="10">
        <v>1595925.4097816709</v>
      </c>
      <c r="H10" s="10">
        <f>(SUM(H11:H15))</f>
        <v>1563408.3217200874</v>
      </c>
      <c r="I10" s="10">
        <f>(SUM(I11:I15))</f>
        <v>1574689.7604353304</v>
      </c>
    </row>
    <row r="11" spans="1:9" x14ac:dyDescent="0.25">
      <c r="A11" s="83">
        <v>31111</v>
      </c>
      <c r="B11" s="84"/>
      <c r="C11" s="85"/>
      <c r="D11" s="26" t="s">
        <v>72</v>
      </c>
      <c r="E11" s="9">
        <v>1188428.7331607935</v>
      </c>
      <c r="F11" s="10">
        <v>1245271.749950229</v>
      </c>
      <c r="G11" s="10">
        <v>1351582.7194903444</v>
      </c>
      <c r="H11" s="10">
        <v>1318667.4630035171</v>
      </c>
      <c r="I11" s="11">
        <v>1325170.8806158337</v>
      </c>
    </row>
    <row r="12" spans="1:9" x14ac:dyDescent="0.25">
      <c r="A12" s="83">
        <v>31131</v>
      </c>
      <c r="B12" s="84"/>
      <c r="C12" s="85"/>
      <c r="D12" s="26" t="s">
        <v>73</v>
      </c>
      <c r="E12" s="9">
        <v>7993.6571769858647</v>
      </c>
      <c r="F12" s="10">
        <v>10617.824673170084</v>
      </c>
      <c r="G12" s="10">
        <v>10617.824673170084</v>
      </c>
      <c r="H12" s="10">
        <v>10617.824673170084</v>
      </c>
      <c r="I12" s="11">
        <v>10617.824673170084</v>
      </c>
    </row>
    <row r="13" spans="1:9" x14ac:dyDescent="0.25">
      <c r="A13" s="83">
        <v>31214</v>
      </c>
      <c r="B13" s="84"/>
      <c r="C13" s="85"/>
      <c r="D13" s="26" t="s">
        <v>74</v>
      </c>
      <c r="E13" s="9">
        <v>9886.3149512243672</v>
      </c>
      <c r="F13" s="10">
        <v>7963.3685048775624</v>
      </c>
      <c r="G13" s="10">
        <v>5972.5263786581718</v>
      </c>
      <c r="H13" s="10">
        <v>1990.8421262193906</v>
      </c>
      <c r="I13" s="11">
        <v>5972.5263786581718</v>
      </c>
    </row>
    <row r="14" spans="1:9" x14ac:dyDescent="0.25">
      <c r="A14" s="83">
        <v>31219</v>
      </c>
      <c r="B14" s="84"/>
      <c r="C14" s="85"/>
      <c r="D14" s="26" t="s">
        <v>143</v>
      </c>
      <c r="E14" s="9">
        <v>49372.88473024089</v>
      </c>
      <c r="F14" s="10">
        <v>0</v>
      </c>
      <c r="G14" s="10">
        <v>0</v>
      </c>
      <c r="H14" s="10">
        <v>0</v>
      </c>
      <c r="I14" s="11">
        <v>0</v>
      </c>
    </row>
    <row r="15" spans="1:9" ht="25.5" x14ac:dyDescent="0.25">
      <c r="A15" s="83">
        <v>31321</v>
      </c>
      <c r="B15" s="84"/>
      <c r="C15" s="85"/>
      <c r="D15" s="26" t="s">
        <v>75</v>
      </c>
      <c r="E15" s="9">
        <v>196437.56719092175</v>
      </c>
      <c r="F15" s="10">
        <v>223505.20937023027</v>
      </c>
      <c r="G15" s="10">
        <v>227752.33923949831</v>
      </c>
      <c r="H15" s="10">
        <v>232132.19191718096</v>
      </c>
      <c r="I15" s="11">
        <v>232928.5287676687</v>
      </c>
    </row>
    <row r="16" spans="1:9" x14ac:dyDescent="0.25">
      <c r="A16" s="72">
        <v>32</v>
      </c>
      <c r="B16" s="81"/>
      <c r="C16" s="82"/>
      <c r="D16" s="26" t="s">
        <v>24</v>
      </c>
      <c r="E16" s="9">
        <f>(SUM(E17:E19))</f>
        <v>8191.6517353507188</v>
      </c>
      <c r="F16" s="9">
        <f>(SUM(F17:F19))</f>
        <v>8427.8983343287528</v>
      </c>
      <c r="G16" s="10">
        <v>8427.8983343287546</v>
      </c>
      <c r="H16" s="10">
        <f>(SUM(H17:H19))</f>
        <v>8427.8983343287528</v>
      </c>
      <c r="I16" s="10">
        <f>(SUM(I17:I19))</f>
        <v>8427.8983343287528</v>
      </c>
    </row>
    <row r="17" spans="1:9" ht="26.25" x14ac:dyDescent="0.25">
      <c r="A17" s="86">
        <v>32361</v>
      </c>
      <c r="B17" s="84"/>
      <c r="C17" s="87"/>
      <c r="D17" s="58" t="s">
        <v>76</v>
      </c>
      <c r="E17" s="9">
        <v>3981.6842524387812</v>
      </c>
      <c r="F17" s="10">
        <v>3981.6842524387812</v>
      </c>
      <c r="G17" s="10">
        <v>3981.6842524387812</v>
      </c>
      <c r="H17" s="10">
        <v>3981.6842524387812</v>
      </c>
      <c r="I17" s="10">
        <v>3981.6842524387812</v>
      </c>
    </row>
    <row r="18" spans="1:9" ht="39" x14ac:dyDescent="0.25">
      <c r="A18" s="86">
        <v>32911</v>
      </c>
      <c r="B18" s="84"/>
      <c r="C18" s="88"/>
      <c r="D18" s="58" t="s">
        <v>77</v>
      </c>
      <c r="E18" s="9">
        <v>727.65279713318728</v>
      </c>
      <c r="F18" s="10">
        <v>1459.9508925608866</v>
      </c>
      <c r="G18" s="10">
        <v>1459.9508925608866</v>
      </c>
      <c r="H18" s="10">
        <v>1459.9508925608866</v>
      </c>
      <c r="I18" s="10">
        <v>1459.9508925608866</v>
      </c>
    </row>
    <row r="19" spans="1:9" ht="39" x14ac:dyDescent="0.25">
      <c r="A19" s="86">
        <v>32955</v>
      </c>
      <c r="B19" s="84"/>
      <c r="C19" s="88"/>
      <c r="D19" s="58" t="s">
        <v>78</v>
      </c>
      <c r="E19" s="9">
        <v>3482.314685778751</v>
      </c>
      <c r="F19" s="10">
        <v>2986.2631893290859</v>
      </c>
      <c r="G19" s="10">
        <v>2986.2631893290859</v>
      </c>
      <c r="H19" s="10">
        <v>2986.2631893290859</v>
      </c>
      <c r="I19" s="10">
        <v>2986.2631893290859</v>
      </c>
    </row>
    <row r="20" spans="1:9" x14ac:dyDescent="0.25">
      <c r="A20" s="249" t="s">
        <v>59</v>
      </c>
      <c r="B20" s="250"/>
      <c r="C20" s="251"/>
      <c r="D20" s="59" t="s">
        <v>27</v>
      </c>
      <c r="E20" s="45">
        <v>334.46147720485766</v>
      </c>
      <c r="F20" s="46">
        <v>2123.5649346340169</v>
      </c>
      <c r="G20" s="46">
        <v>2123.5649346340169</v>
      </c>
      <c r="H20" s="46">
        <f>(H21)</f>
        <v>2123.5649346340169</v>
      </c>
      <c r="I20" s="46">
        <f>(I21)</f>
        <v>2123.5649346340169</v>
      </c>
    </row>
    <row r="21" spans="1:9" x14ac:dyDescent="0.25">
      <c r="A21" s="72">
        <v>3</v>
      </c>
      <c r="B21" s="73"/>
      <c r="C21" s="26"/>
      <c r="D21" s="26" t="s">
        <v>13</v>
      </c>
      <c r="E21" s="9">
        <v>334.46147720485766</v>
      </c>
      <c r="F21" s="10">
        <v>2123.5649346340169</v>
      </c>
      <c r="G21" s="10">
        <v>2123.5649346340169</v>
      </c>
      <c r="H21" s="10">
        <f>(H22)</f>
        <v>2123.5649346340169</v>
      </c>
      <c r="I21" s="10">
        <f>(I22)</f>
        <v>2123.5649346340169</v>
      </c>
    </row>
    <row r="22" spans="1:9" x14ac:dyDescent="0.25">
      <c r="A22" s="72">
        <v>32</v>
      </c>
      <c r="B22" s="73"/>
      <c r="C22" s="26"/>
      <c r="D22" s="26" t="s">
        <v>24</v>
      </c>
      <c r="E22" s="9">
        <v>334.46147720485766</v>
      </c>
      <c r="F22" s="10">
        <v>2123.5649346340169</v>
      </c>
      <c r="G22" s="10">
        <v>2123.5649346340169</v>
      </c>
      <c r="H22" s="10">
        <f>(SUM(H23:H25))</f>
        <v>2123.5649346340169</v>
      </c>
      <c r="I22" s="10">
        <f>(SUM(I23:I25))</f>
        <v>2123.5649346340169</v>
      </c>
    </row>
    <row r="23" spans="1:9" x14ac:dyDescent="0.25">
      <c r="A23" s="83">
        <v>32132</v>
      </c>
      <c r="B23" s="42"/>
      <c r="C23" s="43"/>
      <c r="D23" s="26" t="s">
        <v>82</v>
      </c>
      <c r="E23" s="9">
        <v>0</v>
      </c>
      <c r="F23" s="9">
        <v>464.52982945119118</v>
      </c>
      <c r="G23" s="9">
        <v>464.52982945119118</v>
      </c>
      <c r="H23" s="9">
        <v>464.52982945119101</v>
      </c>
      <c r="I23" s="9">
        <v>464.52982945119118</v>
      </c>
    </row>
    <row r="24" spans="1:9" x14ac:dyDescent="0.25">
      <c r="A24" s="83">
        <v>32212</v>
      </c>
      <c r="B24" s="42"/>
      <c r="C24" s="43"/>
      <c r="D24" s="26" t="s">
        <v>81</v>
      </c>
      <c r="E24" s="9">
        <v>334.46147720485766</v>
      </c>
      <c r="F24" s="9">
        <v>398.16842524387812</v>
      </c>
      <c r="G24" s="9">
        <v>398.16842524387812</v>
      </c>
      <c r="H24" s="9">
        <v>398.16842524387812</v>
      </c>
      <c r="I24" s="9">
        <v>398.16842524387812</v>
      </c>
    </row>
    <row r="25" spans="1:9" x14ac:dyDescent="0.25">
      <c r="A25" s="83">
        <v>32271</v>
      </c>
      <c r="B25" s="42"/>
      <c r="C25" s="43"/>
      <c r="D25" s="26" t="s">
        <v>83</v>
      </c>
      <c r="E25" s="9">
        <v>0</v>
      </c>
      <c r="F25" s="9">
        <v>1260.8666799389475</v>
      </c>
      <c r="G25" s="9">
        <v>1260.8666799389475</v>
      </c>
      <c r="H25" s="9">
        <v>1260.8666799389475</v>
      </c>
      <c r="I25" s="9">
        <v>1260.8666799389475</v>
      </c>
    </row>
    <row r="26" spans="1:9" ht="15" customHeight="1" x14ac:dyDescent="0.25">
      <c r="A26" s="249" t="s">
        <v>60</v>
      </c>
      <c r="B26" s="250"/>
      <c r="C26" s="251"/>
      <c r="D26" s="59" t="s">
        <v>40</v>
      </c>
      <c r="E26" s="45">
        <f>(E27+E34+E107)</f>
        <v>570109.5892229079</v>
      </c>
      <c r="F26" s="45">
        <f>(F27+F34+F107)</f>
        <v>611653.06257880409</v>
      </c>
      <c r="G26" s="46">
        <v>612648.48364191386</v>
      </c>
      <c r="H26" s="46">
        <f>(H27+H34+H107)</f>
        <v>672904.64077111939</v>
      </c>
      <c r="I26" s="46">
        <f>(I27+I34+I107)</f>
        <v>667728.44913398358</v>
      </c>
    </row>
    <row r="27" spans="1:9" ht="15" customHeight="1" x14ac:dyDescent="0.25">
      <c r="A27" s="44">
        <v>922</v>
      </c>
      <c r="B27" s="78"/>
      <c r="C27" s="79"/>
      <c r="D27" s="40" t="s">
        <v>65</v>
      </c>
      <c r="E27" s="9">
        <v>29885.596920830842</v>
      </c>
      <c r="F27" s="9">
        <v>49439.2461344482</v>
      </c>
      <c r="G27" s="10">
        <v>13272.280841462605</v>
      </c>
      <c r="H27" s="10">
        <v>0</v>
      </c>
      <c r="I27" s="11">
        <v>0</v>
      </c>
    </row>
    <row r="28" spans="1:9" ht="15" customHeight="1" x14ac:dyDescent="0.25">
      <c r="A28" s="89">
        <v>31111</v>
      </c>
      <c r="B28" s="76"/>
      <c r="C28" s="77"/>
      <c r="D28" s="26" t="s">
        <v>72</v>
      </c>
      <c r="E28" s="9">
        <v>0</v>
      </c>
      <c r="F28" s="10">
        <v>1327.2280841462605</v>
      </c>
      <c r="G28" s="10">
        <v>13272.280841462605</v>
      </c>
      <c r="H28" s="10">
        <v>0</v>
      </c>
      <c r="I28" s="11">
        <v>0</v>
      </c>
    </row>
    <row r="29" spans="1:9" ht="26.25" customHeight="1" x14ac:dyDescent="0.25">
      <c r="A29" s="90">
        <v>32216</v>
      </c>
      <c r="B29" s="76"/>
      <c r="C29" s="77"/>
      <c r="D29" s="58" t="s">
        <v>92</v>
      </c>
      <c r="E29" s="9">
        <v>0</v>
      </c>
      <c r="F29" s="9">
        <v>796.33685048775624</v>
      </c>
      <c r="G29" s="10">
        <v>0</v>
      </c>
      <c r="H29" s="10">
        <v>0</v>
      </c>
      <c r="I29" s="11">
        <v>0</v>
      </c>
    </row>
    <row r="30" spans="1:9" ht="15" customHeight="1" x14ac:dyDescent="0.25">
      <c r="A30" s="90">
        <v>32224</v>
      </c>
      <c r="B30" s="76"/>
      <c r="C30" s="77"/>
      <c r="D30" s="58" t="s">
        <v>94</v>
      </c>
      <c r="E30" s="9">
        <v>0</v>
      </c>
      <c r="F30" s="9">
        <v>8295.1755259141282</v>
      </c>
      <c r="G30" s="10">
        <v>0</v>
      </c>
      <c r="H30" s="10">
        <v>0</v>
      </c>
      <c r="I30" s="11">
        <v>0</v>
      </c>
    </row>
    <row r="31" spans="1:9" ht="15" customHeight="1" x14ac:dyDescent="0.25">
      <c r="A31" s="90">
        <v>32231</v>
      </c>
      <c r="B31" s="76"/>
      <c r="C31" s="77"/>
      <c r="D31" s="58" t="s">
        <v>95</v>
      </c>
      <c r="E31" s="9">
        <v>0</v>
      </c>
      <c r="F31" s="9">
        <v>17917.579135974516</v>
      </c>
      <c r="G31" s="10">
        <v>0</v>
      </c>
      <c r="H31" s="10">
        <v>0</v>
      </c>
      <c r="I31" s="11">
        <v>0</v>
      </c>
    </row>
    <row r="32" spans="1:9" ht="24" customHeight="1" x14ac:dyDescent="0.25">
      <c r="A32" s="90">
        <v>32234</v>
      </c>
      <c r="B32" s="76"/>
      <c r="C32" s="77"/>
      <c r="D32" s="58" t="s">
        <v>97</v>
      </c>
      <c r="E32" s="9">
        <v>0</v>
      </c>
      <c r="F32" s="9">
        <v>15594.929988718561</v>
      </c>
      <c r="G32" s="10">
        <v>0</v>
      </c>
      <c r="H32" s="10">
        <v>0</v>
      </c>
      <c r="I32" s="11">
        <v>0</v>
      </c>
    </row>
    <row r="33" spans="1:9" ht="36.75" customHeight="1" x14ac:dyDescent="0.25">
      <c r="A33" s="90">
        <v>32239</v>
      </c>
      <c r="B33" s="76"/>
      <c r="C33" s="77"/>
      <c r="D33" s="58" t="s">
        <v>111</v>
      </c>
      <c r="E33" s="9">
        <v>0</v>
      </c>
      <c r="F33" s="9">
        <v>5507.9965492069805</v>
      </c>
      <c r="G33" s="10">
        <v>0</v>
      </c>
      <c r="H33" s="10">
        <v>0</v>
      </c>
      <c r="I33" s="11">
        <v>0</v>
      </c>
    </row>
    <row r="34" spans="1:9" ht="15" customHeight="1" x14ac:dyDescent="0.25">
      <c r="A34" s="72">
        <v>3</v>
      </c>
      <c r="B34" s="76"/>
      <c r="C34" s="77"/>
      <c r="D34" s="26" t="s">
        <v>13</v>
      </c>
      <c r="E34" s="9">
        <f>(E35+E45+E102)</f>
        <v>527426.72639193037</v>
      </c>
      <c r="F34" s="9">
        <f>(F35+F45+F102)</f>
        <v>560886.5883602096</v>
      </c>
      <c r="G34" s="10">
        <v>594067.2904638662</v>
      </c>
      <c r="H34" s="10">
        <f>(SUM(H35,H45,H102,))</f>
        <v>667595.72843453439</v>
      </c>
      <c r="I34" s="10">
        <f>(SUM(I35,I45,I102,))</f>
        <v>662419.53679739858</v>
      </c>
    </row>
    <row r="35" spans="1:9" ht="15" customHeight="1" x14ac:dyDescent="0.25">
      <c r="A35" s="72">
        <v>31</v>
      </c>
      <c r="B35" s="76"/>
      <c r="C35" s="77"/>
      <c r="D35" s="26" t="s">
        <v>14</v>
      </c>
      <c r="E35" s="9">
        <f>(SUM(E36:E44))</f>
        <v>186079.32576813325</v>
      </c>
      <c r="F35" s="10">
        <v>209197.69062313356</v>
      </c>
      <c r="G35" s="10">
        <v>194093.83502554914</v>
      </c>
      <c r="H35" s="10">
        <f>(SUM(H36:H44))</f>
        <v>264981.08910876629</v>
      </c>
      <c r="I35" s="10">
        <f>(SUM(I36:I44))</f>
        <v>229132.65644701043</v>
      </c>
    </row>
    <row r="36" spans="1:9" ht="15" customHeight="1" x14ac:dyDescent="0.25">
      <c r="A36" s="89">
        <v>31111</v>
      </c>
      <c r="B36" s="76"/>
      <c r="C36" s="77"/>
      <c r="D36" s="26" t="s">
        <v>72</v>
      </c>
      <c r="E36" s="9">
        <v>89822.546950693475</v>
      </c>
      <c r="F36" s="10">
        <v>129869.26803371159</v>
      </c>
      <c r="G36" s="10">
        <v>120578.67144468776</v>
      </c>
      <c r="H36" s="10">
        <v>193576.21607273209</v>
      </c>
      <c r="I36" s="11">
        <v>151768.53142212488</v>
      </c>
    </row>
    <row r="37" spans="1:9" ht="15" customHeight="1" x14ac:dyDescent="0.25">
      <c r="A37" s="89">
        <v>31113</v>
      </c>
      <c r="B37" s="76"/>
      <c r="C37" s="77"/>
      <c r="D37" s="26" t="s">
        <v>144</v>
      </c>
      <c r="E37" s="9">
        <v>8670.5819895148979</v>
      </c>
      <c r="F37" s="10">
        <v>0</v>
      </c>
      <c r="G37" s="10">
        <v>0</v>
      </c>
      <c r="H37" s="10">
        <v>0</v>
      </c>
      <c r="I37" s="11">
        <v>0</v>
      </c>
    </row>
    <row r="38" spans="1:9" ht="15" customHeight="1" x14ac:dyDescent="0.25">
      <c r="A38" s="89">
        <v>31131</v>
      </c>
      <c r="B38" s="76"/>
      <c r="C38" s="77"/>
      <c r="D38" s="26" t="s">
        <v>73</v>
      </c>
      <c r="E38" s="9">
        <v>11855.594929988718</v>
      </c>
      <c r="F38" s="10">
        <v>10617.824673170084</v>
      </c>
      <c r="G38" s="10">
        <v>10617.824673170084</v>
      </c>
      <c r="H38" s="10">
        <v>10617.824673170084</v>
      </c>
      <c r="I38" s="10">
        <v>11480.522927865153</v>
      </c>
    </row>
    <row r="39" spans="1:9" ht="15" customHeight="1" x14ac:dyDescent="0.25">
      <c r="A39" s="89">
        <v>31212</v>
      </c>
      <c r="B39" s="76"/>
      <c r="C39" s="77"/>
      <c r="D39" s="58" t="s">
        <v>84</v>
      </c>
      <c r="E39" s="9">
        <v>2322.649147255956</v>
      </c>
      <c r="F39" s="10">
        <v>34932.643174729572</v>
      </c>
      <c r="G39" s="10">
        <v>31773.840334461474</v>
      </c>
      <c r="H39" s="10">
        <v>31919.84</v>
      </c>
      <c r="I39" s="11">
        <f>(45000+220000)/7.5345</f>
        <v>35171.544229875901</v>
      </c>
    </row>
    <row r="40" spans="1:9" ht="15" customHeight="1" x14ac:dyDescent="0.25">
      <c r="A40" s="89">
        <v>31213</v>
      </c>
      <c r="B40" s="76"/>
      <c r="C40" s="77"/>
      <c r="D40" s="58" t="s">
        <v>85</v>
      </c>
      <c r="E40" s="9">
        <v>5255.8232132191915</v>
      </c>
      <c r="F40" s="10">
        <v>4778.0211029265374</v>
      </c>
      <c r="G40" s="10">
        <v>4910.7439113411638</v>
      </c>
      <c r="H40" s="10">
        <v>4539.1200477802104</v>
      </c>
      <c r="I40" s="11">
        <v>4300.2189926338842</v>
      </c>
    </row>
    <row r="41" spans="1:9" ht="15" customHeight="1" x14ac:dyDescent="0.25">
      <c r="A41" s="89">
        <v>31214</v>
      </c>
      <c r="B41" s="76"/>
      <c r="C41" s="77"/>
      <c r="D41" s="58" t="s">
        <v>74</v>
      </c>
      <c r="E41" s="9">
        <v>5308.9123365850419</v>
      </c>
      <c r="F41" s="10">
        <v>4247.1298692680339</v>
      </c>
      <c r="G41" s="10">
        <v>3185.3474019510249</v>
      </c>
      <c r="H41" s="10">
        <v>1061.78</v>
      </c>
      <c r="I41" s="11">
        <v>3185.3474019510249</v>
      </c>
    </row>
    <row r="42" spans="1:9" ht="15" customHeight="1" x14ac:dyDescent="0.25">
      <c r="A42" s="89">
        <v>31215</v>
      </c>
      <c r="B42" s="76"/>
      <c r="C42" s="77"/>
      <c r="D42" s="60" t="s">
        <v>87</v>
      </c>
      <c r="E42" s="9">
        <v>3649.8772314022162</v>
      </c>
      <c r="F42" s="10">
        <v>3318.0702103656513</v>
      </c>
      <c r="G42" s="10">
        <v>3318.0702103656513</v>
      </c>
      <c r="H42" s="10">
        <v>3318.0702103656513</v>
      </c>
      <c r="I42" s="10">
        <v>3318.0702103656513</v>
      </c>
    </row>
    <row r="43" spans="1:9" ht="15" customHeight="1" x14ac:dyDescent="0.25">
      <c r="A43" s="89">
        <v>31216</v>
      </c>
      <c r="B43" s="76"/>
      <c r="C43" s="77"/>
      <c r="D43" s="58" t="s">
        <v>86</v>
      </c>
      <c r="E43" s="9">
        <v>20704.758112681662</v>
      </c>
      <c r="F43" s="10">
        <v>20107.505474815847</v>
      </c>
      <c r="G43" s="10">
        <v>19709.337049571968</v>
      </c>
      <c r="H43" s="10">
        <v>19948.238104718293</v>
      </c>
      <c r="I43" s="10">
        <v>19908.421262193908</v>
      </c>
    </row>
    <row r="44" spans="1:9" ht="15" customHeight="1" x14ac:dyDescent="0.25">
      <c r="A44" s="89">
        <v>31219</v>
      </c>
      <c r="B44" s="76"/>
      <c r="C44" s="77"/>
      <c r="D44" s="26" t="s">
        <v>143</v>
      </c>
      <c r="E44" s="9">
        <v>38488.581856792087</v>
      </c>
      <c r="F44" s="10">
        <v>0</v>
      </c>
      <c r="G44" s="10">
        <v>0</v>
      </c>
      <c r="H44" s="10">
        <v>0</v>
      </c>
      <c r="I44" s="11">
        <v>0</v>
      </c>
    </row>
    <row r="45" spans="1:9" ht="15" customHeight="1" x14ac:dyDescent="0.25">
      <c r="A45" s="75">
        <v>32</v>
      </c>
      <c r="B45" s="76"/>
      <c r="C45" s="77"/>
      <c r="D45" s="26" t="s">
        <v>24</v>
      </c>
      <c r="E45" s="9">
        <f>(SUM(E46:E101))</f>
        <v>321179.88453115668</v>
      </c>
      <c r="F45" s="46">
        <v>349366.24858982011</v>
      </c>
      <c r="G45" s="10">
        <v>397650.8062910611</v>
      </c>
      <c r="H45" s="10">
        <f>(SUM(H46:H101))</f>
        <v>400291.99017851218</v>
      </c>
      <c r="I45" s="10">
        <f>(SUM(I46:I101))</f>
        <v>430964.23120313219</v>
      </c>
    </row>
    <row r="46" spans="1:9" ht="15" customHeight="1" x14ac:dyDescent="0.25">
      <c r="A46" s="90">
        <v>32111</v>
      </c>
      <c r="B46" s="76"/>
      <c r="C46" s="77"/>
      <c r="D46" s="58" t="s">
        <v>88</v>
      </c>
      <c r="E46" s="61">
        <v>169.88519477072134</v>
      </c>
      <c r="F46" s="10">
        <v>1061.7824673170085</v>
      </c>
      <c r="G46" s="10">
        <v>1061.7824673170085</v>
      </c>
      <c r="H46" s="10">
        <v>1061.7824673170085</v>
      </c>
      <c r="I46" s="10">
        <v>1061.7824673170085</v>
      </c>
    </row>
    <row r="47" spans="1:9" ht="15" customHeight="1" x14ac:dyDescent="0.25">
      <c r="A47" s="90">
        <v>32113</v>
      </c>
      <c r="B47" s="76"/>
      <c r="C47" s="77"/>
      <c r="D47" s="62" t="s">
        <v>110</v>
      </c>
      <c r="E47" s="61">
        <v>424.35463534408387</v>
      </c>
      <c r="F47" s="10">
        <v>1592.6737009755125</v>
      </c>
      <c r="G47" s="10">
        <v>1592.6737009755125</v>
      </c>
      <c r="H47" s="10">
        <v>1592.6737009755125</v>
      </c>
      <c r="I47" s="10">
        <v>1592.6737009755125</v>
      </c>
    </row>
    <row r="48" spans="1:9" ht="15" customHeight="1" x14ac:dyDescent="0.25">
      <c r="A48" s="90">
        <v>32115</v>
      </c>
      <c r="B48" s="76"/>
      <c r="C48" s="77"/>
      <c r="D48" s="60" t="s">
        <v>112</v>
      </c>
      <c r="E48" s="61">
        <v>0</v>
      </c>
      <c r="F48" s="10">
        <v>66.361404207313029</v>
      </c>
      <c r="G48" s="10">
        <v>66.361404207313029</v>
      </c>
      <c r="H48" s="10">
        <v>66.361404207313029</v>
      </c>
      <c r="I48" s="10">
        <v>66.361404207313029</v>
      </c>
    </row>
    <row r="49" spans="1:9" ht="15" customHeight="1" x14ac:dyDescent="0.25">
      <c r="A49" s="90">
        <v>32121</v>
      </c>
      <c r="B49" s="76"/>
      <c r="C49" s="77"/>
      <c r="D49" s="60" t="s">
        <v>113</v>
      </c>
      <c r="E49" s="61">
        <v>51946.247262592071</v>
      </c>
      <c r="F49" s="10">
        <v>62777.888380118122</v>
      </c>
      <c r="G49" s="10">
        <v>73661.158670117453</v>
      </c>
      <c r="H49" s="10">
        <v>74324.772712190592</v>
      </c>
      <c r="I49" s="10">
        <v>76979.228880483104</v>
      </c>
    </row>
    <row r="50" spans="1:9" ht="15" customHeight="1" x14ac:dyDescent="0.25">
      <c r="A50" s="90">
        <v>32131</v>
      </c>
      <c r="B50" s="76"/>
      <c r="C50" s="77"/>
      <c r="D50" s="58" t="s">
        <v>89</v>
      </c>
      <c r="E50" s="61">
        <v>1346.6852478598446</v>
      </c>
      <c r="F50" s="10">
        <v>3583.5158271949031</v>
      </c>
      <c r="G50" s="10">
        <v>3583.5158271949031</v>
      </c>
      <c r="H50" s="10">
        <v>3583.5158271949031</v>
      </c>
      <c r="I50" s="10">
        <v>3583.5158271949031</v>
      </c>
    </row>
    <row r="51" spans="1:9" ht="15" customHeight="1" x14ac:dyDescent="0.25">
      <c r="A51" s="90">
        <v>32132</v>
      </c>
      <c r="B51" s="76"/>
      <c r="C51" s="77"/>
      <c r="D51" s="58" t="s">
        <v>82</v>
      </c>
      <c r="E51" s="61">
        <v>1154.3499900457894</v>
      </c>
      <c r="F51" s="10">
        <v>0</v>
      </c>
      <c r="G51" s="10">
        <v>0</v>
      </c>
      <c r="H51" s="10">
        <v>0</v>
      </c>
      <c r="I51" s="11">
        <v>0</v>
      </c>
    </row>
    <row r="52" spans="1:9" ht="29.25" customHeight="1" x14ac:dyDescent="0.25">
      <c r="A52" s="90">
        <v>32141</v>
      </c>
      <c r="B52" s="76"/>
      <c r="C52" s="77"/>
      <c r="D52" s="58" t="s">
        <v>114</v>
      </c>
      <c r="E52" s="61">
        <v>276.32888711925142</v>
      </c>
      <c r="F52" s="10">
        <v>663.61404207313024</v>
      </c>
      <c r="G52" s="10">
        <v>663.61404207313024</v>
      </c>
      <c r="H52" s="10">
        <v>663.61404207313024</v>
      </c>
      <c r="I52" s="10">
        <v>663.61404207313024</v>
      </c>
    </row>
    <row r="53" spans="1:9" ht="30" customHeight="1" x14ac:dyDescent="0.25">
      <c r="A53" s="90">
        <v>32211</v>
      </c>
      <c r="B53" s="76"/>
      <c r="C53" s="77"/>
      <c r="D53" s="58" t="s">
        <v>90</v>
      </c>
      <c r="E53" s="61">
        <v>5395.0122768597785</v>
      </c>
      <c r="F53" s="10">
        <v>7339.57130532882</v>
      </c>
      <c r="G53" s="10">
        <v>7273.2099011215078</v>
      </c>
      <c r="H53" s="10">
        <v>7273.2099011215078</v>
      </c>
      <c r="I53" s="10">
        <v>7273.2099011215078</v>
      </c>
    </row>
    <row r="54" spans="1:9" ht="25.5" customHeight="1" x14ac:dyDescent="0.25">
      <c r="A54" s="90">
        <v>32212</v>
      </c>
      <c r="B54" s="76"/>
      <c r="C54" s="77"/>
      <c r="D54" s="58" t="s">
        <v>80</v>
      </c>
      <c r="E54" s="61">
        <v>1171.4181432079101</v>
      </c>
      <c r="F54" s="10">
        <v>1154.6884332072466</v>
      </c>
      <c r="G54" s="10">
        <v>1420.1340500364986</v>
      </c>
      <c r="H54" s="10">
        <v>1420.1340500364986</v>
      </c>
      <c r="I54" s="10">
        <v>1420.1340500364986</v>
      </c>
    </row>
    <row r="55" spans="1:9" ht="26.25" x14ac:dyDescent="0.25">
      <c r="A55" s="90">
        <v>32214</v>
      </c>
      <c r="B55" s="76"/>
      <c r="C55" s="77"/>
      <c r="D55" s="58" t="s">
        <v>91</v>
      </c>
      <c r="E55" s="9">
        <v>3611.012011414161</v>
      </c>
      <c r="F55" s="10">
        <v>3318.0702103656513</v>
      </c>
      <c r="G55" s="10">
        <v>3583.5158271949031</v>
      </c>
      <c r="H55" s="10">
        <v>3583.5158271949031</v>
      </c>
      <c r="I55" s="10">
        <v>3583.5158271949031</v>
      </c>
    </row>
    <row r="56" spans="1:9" ht="26.25" x14ac:dyDescent="0.25">
      <c r="A56" s="90">
        <v>32216</v>
      </c>
      <c r="B56" s="76"/>
      <c r="C56" s="77"/>
      <c r="D56" s="58" t="s">
        <v>92</v>
      </c>
      <c r="E56" s="9">
        <v>6009.4737540646356</v>
      </c>
      <c r="F56" s="10">
        <v>5839.8035702435463</v>
      </c>
      <c r="G56" s="10">
        <v>6636.1404207313026</v>
      </c>
      <c r="H56" s="10">
        <v>6636.1404207313026</v>
      </c>
      <c r="I56" s="10">
        <v>6636.1404207313026</v>
      </c>
    </row>
    <row r="57" spans="1:9" ht="26.25" x14ac:dyDescent="0.25">
      <c r="A57" s="90">
        <v>32219</v>
      </c>
      <c r="B57" s="76"/>
      <c r="C57" s="77"/>
      <c r="D57" s="58" t="s">
        <v>93</v>
      </c>
      <c r="E57" s="9">
        <v>2520.7392660428691</v>
      </c>
      <c r="F57" s="10">
        <v>2521.7333598778951</v>
      </c>
      <c r="G57" s="10">
        <v>2521.7333598778951</v>
      </c>
      <c r="H57" s="10">
        <v>2521.7333598778951</v>
      </c>
      <c r="I57" s="10">
        <v>2521.7333598778951</v>
      </c>
    </row>
    <row r="58" spans="1:9" x14ac:dyDescent="0.25">
      <c r="A58" s="90">
        <v>32224</v>
      </c>
      <c r="B58" s="76"/>
      <c r="C58" s="77"/>
      <c r="D58" s="58" t="s">
        <v>94</v>
      </c>
      <c r="E58" s="9">
        <v>96434.992368438499</v>
      </c>
      <c r="F58" s="10">
        <v>100935.6957993231</v>
      </c>
      <c r="G58" s="10">
        <v>109496.31694206649</v>
      </c>
      <c r="H58" s="10">
        <v>110159.93098413962</v>
      </c>
      <c r="I58" s="10">
        <v>119450.52757316345</v>
      </c>
    </row>
    <row r="59" spans="1:9" x14ac:dyDescent="0.25">
      <c r="A59" s="90">
        <v>32231</v>
      </c>
      <c r="B59" s="76"/>
      <c r="C59" s="77"/>
      <c r="D59" s="58" t="s">
        <v>95</v>
      </c>
      <c r="E59" s="9">
        <v>26206.604286946709</v>
      </c>
      <c r="F59" s="10">
        <v>28535.403809144598</v>
      </c>
      <c r="G59" s="10">
        <v>33180.702103656513</v>
      </c>
      <c r="H59" s="10">
        <v>33844.316145729645</v>
      </c>
      <c r="I59" s="10">
        <v>39816.842524387816</v>
      </c>
    </row>
    <row r="60" spans="1:9" x14ac:dyDescent="0.25">
      <c r="A60" s="90">
        <v>32233</v>
      </c>
      <c r="B60" s="76"/>
      <c r="C60" s="77"/>
      <c r="D60" s="58" t="s">
        <v>96</v>
      </c>
      <c r="E60" s="9">
        <v>9115.498042338575</v>
      </c>
      <c r="F60" s="10">
        <v>12608.666799389475</v>
      </c>
      <c r="G60" s="10">
        <v>12608.666799389475</v>
      </c>
      <c r="H60" s="10">
        <v>13272.280841462605</v>
      </c>
      <c r="I60" s="10">
        <v>13935.894883535735</v>
      </c>
    </row>
    <row r="61" spans="1:9" ht="26.25" x14ac:dyDescent="0.25">
      <c r="A61" s="90">
        <v>32234</v>
      </c>
      <c r="B61" s="76"/>
      <c r="C61" s="77"/>
      <c r="D61" s="58" t="s">
        <v>97</v>
      </c>
      <c r="E61" s="9">
        <v>17167.692613975709</v>
      </c>
      <c r="F61" s="10">
        <v>16059.459818169751</v>
      </c>
      <c r="G61" s="10">
        <v>33180.702103656513</v>
      </c>
      <c r="H61" s="10">
        <v>34507.930187802769</v>
      </c>
      <c r="I61" s="10">
        <v>39816.842524387816</v>
      </c>
    </row>
    <row r="62" spans="1:9" ht="39" x14ac:dyDescent="0.25">
      <c r="A62" s="90">
        <v>32239</v>
      </c>
      <c r="B62" s="76"/>
      <c r="C62" s="77"/>
      <c r="D62" s="58" t="s">
        <v>111</v>
      </c>
      <c r="E62" s="9">
        <v>5043.8901055146325</v>
      </c>
      <c r="F62" s="10">
        <v>5308.9123365850419</v>
      </c>
      <c r="G62" s="10">
        <v>11546.884332072466</v>
      </c>
      <c r="H62" s="10">
        <v>11945.052757316344</v>
      </c>
      <c r="I62" s="10">
        <v>13272.280841462605</v>
      </c>
    </row>
    <row r="63" spans="1:9" ht="39" x14ac:dyDescent="0.25">
      <c r="A63" s="90">
        <v>32241</v>
      </c>
      <c r="B63" s="76"/>
      <c r="C63" s="77"/>
      <c r="D63" s="58" t="s">
        <v>98</v>
      </c>
      <c r="E63" s="9">
        <v>1322.5150972194569</v>
      </c>
      <c r="F63" s="10">
        <v>1592.6737009755125</v>
      </c>
      <c r="G63" s="10">
        <v>1592.6737009755125</v>
      </c>
      <c r="H63" s="10">
        <v>1592.6737009755125</v>
      </c>
      <c r="I63" s="10">
        <v>1592.6737009755125</v>
      </c>
    </row>
    <row r="64" spans="1:9" ht="39" x14ac:dyDescent="0.25">
      <c r="A64" s="90">
        <v>32242</v>
      </c>
      <c r="B64" s="76"/>
      <c r="C64" s="77"/>
      <c r="D64" s="58" t="s">
        <v>99</v>
      </c>
      <c r="E64" s="9">
        <v>580</v>
      </c>
      <c r="F64" s="10">
        <v>398.16842524387812</v>
      </c>
      <c r="G64" s="10">
        <v>530.89123365850423</v>
      </c>
      <c r="H64" s="10">
        <v>530.89123365850423</v>
      </c>
      <c r="I64" s="10">
        <v>530.89123365850423</v>
      </c>
    </row>
    <row r="65" spans="1:9" ht="39" x14ac:dyDescent="0.25">
      <c r="A65" s="90">
        <v>32243</v>
      </c>
      <c r="B65" s="76"/>
      <c r="C65" s="77"/>
      <c r="D65" s="58" t="s">
        <v>100</v>
      </c>
      <c r="E65" s="9">
        <v>179.70668259340366</v>
      </c>
      <c r="F65" s="10">
        <v>199.08421262193906</v>
      </c>
      <c r="G65" s="10">
        <v>66.361404207313029</v>
      </c>
      <c r="H65" s="10">
        <v>66.361404207313029</v>
      </c>
      <c r="I65" s="10">
        <v>66.361404207313029</v>
      </c>
    </row>
    <row r="66" spans="1:9" x14ac:dyDescent="0.25">
      <c r="A66" s="90">
        <v>32251</v>
      </c>
      <c r="B66" s="76"/>
      <c r="C66" s="77"/>
      <c r="D66" s="58" t="s">
        <v>101</v>
      </c>
      <c r="E66" s="9">
        <v>2755.9174464131656</v>
      </c>
      <c r="F66" s="10">
        <v>3848.9614440241553</v>
      </c>
      <c r="G66" s="10">
        <v>4512.5754860972856</v>
      </c>
      <c r="H66" s="10">
        <v>4512.5754860972856</v>
      </c>
      <c r="I66" s="10">
        <v>5176.1895281704155</v>
      </c>
    </row>
    <row r="67" spans="1:9" ht="28.5" customHeight="1" x14ac:dyDescent="0.25">
      <c r="A67" s="90">
        <v>32252</v>
      </c>
      <c r="B67" s="76"/>
      <c r="C67" s="77"/>
      <c r="D67" s="58" t="s">
        <v>102</v>
      </c>
      <c r="E67" s="9">
        <v>0</v>
      </c>
      <c r="F67" s="10">
        <v>331.80702103656512</v>
      </c>
      <c r="G67" s="10">
        <v>66.361404207313029</v>
      </c>
      <c r="H67" s="10">
        <v>66.361404207313029</v>
      </c>
      <c r="I67" s="10">
        <v>66.361404207313029</v>
      </c>
    </row>
    <row r="68" spans="1:9" ht="25.5" customHeight="1" x14ac:dyDescent="0.25">
      <c r="A68" s="90">
        <v>32271</v>
      </c>
      <c r="B68" s="76"/>
      <c r="C68" s="77"/>
      <c r="D68" s="58" t="s">
        <v>103</v>
      </c>
      <c r="E68" s="9">
        <v>5338.918309111421</v>
      </c>
      <c r="F68" s="10">
        <v>3915.3228482314685</v>
      </c>
      <c r="G68" s="10">
        <v>4048.0456566460944</v>
      </c>
      <c r="H68" s="10">
        <v>4048.0456566460944</v>
      </c>
      <c r="I68" s="10">
        <v>4048.0456566460944</v>
      </c>
    </row>
    <row r="69" spans="1:9" x14ac:dyDescent="0.25">
      <c r="A69" s="90">
        <v>32311</v>
      </c>
      <c r="B69" s="76"/>
      <c r="C69" s="77"/>
      <c r="D69" s="58" t="s">
        <v>104</v>
      </c>
      <c r="E69" s="9">
        <v>2042.3890105514631</v>
      </c>
      <c r="F69" s="10">
        <v>2189.9263388413297</v>
      </c>
      <c r="G69" s="10">
        <v>2123.5649346340169</v>
      </c>
      <c r="H69" s="10">
        <v>2123.5649346340169</v>
      </c>
      <c r="I69" s="10">
        <v>2123.5649346340169</v>
      </c>
    </row>
    <row r="70" spans="1:9" x14ac:dyDescent="0.25">
      <c r="A70" s="90">
        <v>32312</v>
      </c>
      <c r="B70" s="76"/>
      <c r="C70" s="77"/>
      <c r="D70" s="58" t="s">
        <v>105</v>
      </c>
      <c r="E70" s="9">
        <v>1777.6866414493329</v>
      </c>
      <c r="F70" s="10">
        <v>1858.1193178047647</v>
      </c>
      <c r="G70" s="10">
        <v>1858.1193178047647</v>
      </c>
      <c r="H70" s="10">
        <v>1858.1193178047647</v>
      </c>
      <c r="I70" s="10">
        <v>1858.1193178047647</v>
      </c>
    </row>
    <row r="71" spans="1:9" x14ac:dyDescent="0.25">
      <c r="A71" s="90">
        <v>32313</v>
      </c>
      <c r="B71" s="76"/>
      <c r="C71" s="77"/>
      <c r="D71" s="58" t="s">
        <v>106</v>
      </c>
      <c r="E71" s="9">
        <v>463.91930453248392</v>
      </c>
      <c r="F71" s="10">
        <v>663.61404207313024</v>
      </c>
      <c r="G71" s="10">
        <v>398.16842524387812</v>
      </c>
      <c r="H71" s="10">
        <v>398.16842524387812</v>
      </c>
      <c r="I71" s="10">
        <v>398.16842524387812</v>
      </c>
    </row>
    <row r="72" spans="1:9" ht="26.25" x14ac:dyDescent="0.25">
      <c r="A72" s="90">
        <v>32321</v>
      </c>
      <c r="B72" s="76"/>
      <c r="C72" s="77"/>
      <c r="D72" s="58" t="s">
        <v>107</v>
      </c>
      <c r="E72" s="9">
        <v>9938.0118123299471</v>
      </c>
      <c r="F72" s="10">
        <v>11945.052757316344</v>
      </c>
      <c r="G72" s="10">
        <v>11945.052757316344</v>
      </c>
      <c r="H72" s="10">
        <v>11945.052757316344</v>
      </c>
      <c r="I72" s="10">
        <v>11945.052757316344</v>
      </c>
    </row>
    <row r="73" spans="1:9" ht="26.25" x14ac:dyDescent="0.25">
      <c r="A73" s="90">
        <v>32322</v>
      </c>
      <c r="B73" s="76"/>
      <c r="C73" s="77"/>
      <c r="D73" s="58" t="s">
        <v>108</v>
      </c>
      <c r="E73" s="9">
        <v>7048.576547879753</v>
      </c>
      <c r="F73" s="10">
        <v>5308.9123365850419</v>
      </c>
      <c r="G73" s="10">
        <v>7299.7544628044325</v>
      </c>
      <c r="H73" s="10">
        <v>5308.9123365850419</v>
      </c>
      <c r="I73" s="10">
        <v>7963.3685048775624</v>
      </c>
    </row>
    <row r="74" spans="1:9" ht="26.25" x14ac:dyDescent="0.25">
      <c r="A74" s="90">
        <v>32323</v>
      </c>
      <c r="B74" s="76"/>
      <c r="C74" s="77"/>
      <c r="D74" s="58" t="s">
        <v>109</v>
      </c>
      <c r="E74" s="9">
        <v>193.77530028535404</v>
      </c>
      <c r="F74" s="10">
        <v>371.62386356095294</v>
      </c>
      <c r="G74" s="10">
        <v>119.45052757316344</v>
      </c>
      <c r="H74" s="10">
        <v>371.62386356095294</v>
      </c>
      <c r="I74" s="11">
        <v>384.89614440241553</v>
      </c>
    </row>
    <row r="75" spans="1:9" x14ac:dyDescent="0.25">
      <c r="A75" s="90">
        <v>32341</v>
      </c>
      <c r="B75" s="76"/>
      <c r="C75" s="77"/>
      <c r="D75" s="58" t="s">
        <v>115</v>
      </c>
      <c r="E75" s="9">
        <v>14969.335722343885</v>
      </c>
      <c r="F75" s="10">
        <v>13272.280841462605</v>
      </c>
      <c r="G75" s="10">
        <v>13272.280841462605</v>
      </c>
      <c r="H75" s="10">
        <v>13272.280841462605</v>
      </c>
      <c r="I75" s="10">
        <v>14599.508925608865</v>
      </c>
    </row>
    <row r="76" spans="1:9" x14ac:dyDescent="0.25">
      <c r="A76" s="90">
        <v>32342</v>
      </c>
      <c r="B76" s="76"/>
      <c r="C76" s="77"/>
      <c r="D76" s="58" t="s">
        <v>116</v>
      </c>
      <c r="E76" s="9">
        <v>2931.353109031787</v>
      </c>
      <c r="F76" s="10">
        <v>3782.6000398168421</v>
      </c>
      <c r="G76" s="10">
        <v>3782.6000398168421</v>
      </c>
      <c r="H76" s="10">
        <v>3782.6000398168421</v>
      </c>
      <c r="I76" s="10">
        <v>3782.6000398168421</v>
      </c>
    </row>
    <row r="77" spans="1:9" x14ac:dyDescent="0.25">
      <c r="A77" s="90">
        <v>32343</v>
      </c>
      <c r="B77" s="76"/>
      <c r="C77" s="77"/>
      <c r="D77" s="58" t="s">
        <v>117</v>
      </c>
      <c r="E77" s="9">
        <v>603.88877828654847</v>
      </c>
      <c r="F77" s="10">
        <v>796.33685048775624</v>
      </c>
      <c r="G77" s="10">
        <v>663.61404207313024</v>
      </c>
      <c r="H77" s="10">
        <v>663.61404207313024</v>
      </c>
      <c r="I77" s="10">
        <v>663.61404207313024</v>
      </c>
    </row>
    <row r="78" spans="1:9" x14ac:dyDescent="0.25">
      <c r="A78" s="90">
        <v>32344</v>
      </c>
      <c r="B78" s="76"/>
      <c r="C78" s="77"/>
      <c r="D78" s="58" t="s">
        <v>118</v>
      </c>
      <c r="E78" s="9">
        <v>751.84418342292122</v>
      </c>
      <c r="F78" s="10">
        <v>929.05965890238235</v>
      </c>
      <c r="G78" s="10">
        <v>796.33685048775624</v>
      </c>
      <c r="H78" s="10">
        <v>796.33685048775624</v>
      </c>
      <c r="I78" s="10">
        <v>796.33685048775624</v>
      </c>
    </row>
    <row r="79" spans="1:9" ht="26.25" x14ac:dyDescent="0.25">
      <c r="A79" s="90">
        <v>32355</v>
      </c>
      <c r="B79" s="76"/>
      <c r="C79" s="77"/>
      <c r="D79" s="58" t="s">
        <v>119</v>
      </c>
      <c r="E79" s="9">
        <v>2881.7200875970534</v>
      </c>
      <c r="F79" s="10">
        <v>6237.9719954874245</v>
      </c>
      <c r="G79" s="10">
        <v>6636.1404207313026</v>
      </c>
      <c r="H79" s="10">
        <v>6636.1404207313026</v>
      </c>
      <c r="I79" s="10">
        <v>6636.1404207313026</v>
      </c>
    </row>
    <row r="80" spans="1:9" ht="26.25" x14ac:dyDescent="0.25">
      <c r="A80" s="90">
        <v>32359</v>
      </c>
      <c r="B80" s="76"/>
      <c r="C80" s="77"/>
      <c r="D80" s="58" t="s">
        <v>120</v>
      </c>
      <c r="E80" s="9">
        <v>5820.9264052027329</v>
      </c>
      <c r="F80" s="10">
        <v>5707.08076182892</v>
      </c>
      <c r="G80" s="10">
        <v>5839.8035702435463</v>
      </c>
      <c r="H80" s="10">
        <v>5839.8035702435463</v>
      </c>
      <c r="I80" s="10">
        <v>6105.2491870727981</v>
      </c>
    </row>
    <row r="81" spans="1:9" ht="26.25" x14ac:dyDescent="0.25">
      <c r="A81" s="90">
        <v>32361</v>
      </c>
      <c r="B81" s="76"/>
      <c r="C81" s="77"/>
      <c r="D81" s="58" t="s">
        <v>76</v>
      </c>
      <c r="E81" s="9">
        <v>4876.2359811533606</v>
      </c>
      <c r="F81" s="10">
        <v>4645.298294511912</v>
      </c>
      <c r="G81" s="10">
        <v>4645.298294511912</v>
      </c>
      <c r="H81" s="10">
        <v>4645.298294511912</v>
      </c>
      <c r="I81" s="10">
        <v>4645.298294511912</v>
      </c>
    </row>
    <row r="82" spans="1:9" x14ac:dyDescent="0.25">
      <c r="A82" s="90">
        <v>32363</v>
      </c>
      <c r="B82" s="76"/>
      <c r="C82" s="77"/>
      <c r="D82" s="58" t="s">
        <v>121</v>
      </c>
      <c r="E82" s="9">
        <v>3816.0143340633085</v>
      </c>
      <c r="F82" s="10">
        <v>4180.7684650607207</v>
      </c>
      <c r="G82" s="10">
        <v>4180.7684650607207</v>
      </c>
      <c r="H82" s="10">
        <v>4180.7684650607207</v>
      </c>
      <c r="I82" s="10">
        <v>4180.7684650607207</v>
      </c>
    </row>
    <row r="83" spans="1:9" x14ac:dyDescent="0.25">
      <c r="A83" s="90">
        <v>32372</v>
      </c>
      <c r="B83" s="76"/>
      <c r="C83" s="77"/>
      <c r="D83" s="58" t="s">
        <v>122</v>
      </c>
      <c r="E83" s="9">
        <v>0</v>
      </c>
      <c r="F83" s="10">
        <v>199.08421262193906</v>
      </c>
      <c r="G83" s="10">
        <v>199.08421262193906</v>
      </c>
      <c r="H83" s="10">
        <v>199.08421262193906</v>
      </c>
      <c r="I83" s="10">
        <v>199.08421262193906</v>
      </c>
    </row>
    <row r="84" spans="1:9" ht="26.25" x14ac:dyDescent="0.25">
      <c r="A84" s="90">
        <v>32373</v>
      </c>
      <c r="B84" s="76"/>
      <c r="C84" s="77"/>
      <c r="D84" s="58" t="s">
        <v>123</v>
      </c>
      <c r="E84" s="9">
        <v>443.62598712588755</v>
      </c>
      <c r="F84" s="10">
        <v>464.52982945119118</v>
      </c>
      <c r="G84" s="10">
        <v>398.16842524387812</v>
      </c>
      <c r="H84" s="10">
        <v>398.16842524387812</v>
      </c>
      <c r="I84" s="10">
        <v>398.16842524387812</v>
      </c>
    </row>
    <row r="85" spans="1:9" x14ac:dyDescent="0.25">
      <c r="A85" s="90">
        <v>32379</v>
      </c>
      <c r="B85" s="76"/>
      <c r="C85" s="77"/>
      <c r="D85" s="58" t="s">
        <v>124</v>
      </c>
      <c r="E85" s="9">
        <v>597.25263786581718</v>
      </c>
      <c r="F85" s="10">
        <v>597.25263786581718</v>
      </c>
      <c r="G85" s="10">
        <v>597.25263786581718</v>
      </c>
      <c r="H85" s="10">
        <v>597.25263786581718</v>
      </c>
      <c r="I85" s="10">
        <v>597.25263786581718</v>
      </c>
    </row>
    <row r="86" spans="1:9" x14ac:dyDescent="0.25">
      <c r="A86" s="90">
        <v>32381</v>
      </c>
      <c r="B86" s="76"/>
      <c r="C86" s="77"/>
      <c r="D86" s="58" t="s">
        <v>125</v>
      </c>
      <c r="E86" s="9">
        <v>7293.1183223837015</v>
      </c>
      <c r="F86" s="10">
        <v>7498.838675426372</v>
      </c>
      <c r="G86" s="10">
        <v>6370.6948039020499</v>
      </c>
      <c r="H86" s="10">
        <v>6370.6948039020499</v>
      </c>
      <c r="I86" s="10">
        <v>6636.1404207313026</v>
      </c>
    </row>
    <row r="87" spans="1:9" x14ac:dyDescent="0.25">
      <c r="A87" s="90">
        <v>32389</v>
      </c>
      <c r="B87" s="76"/>
      <c r="C87" s="77"/>
      <c r="D87" s="58" t="s">
        <v>126</v>
      </c>
      <c r="E87" s="9">
        <v>150.97219457163712</v>
      </c>
      <c r="F87" s="10">
        <v>39.816842524387816</v>
      </c>
      <c r="G87" s="10">
        <v>66.361404207313029</v>
      </c>
      <c r="H87" s="10">
        <v>66.361404207313029</v>
      </c>
      <c r="I87" s="10">
        <v>66.361404207313029</v>
      </c>
    </row>
    <row r="88" spans="1:9" x14ac:dyDescent="0.25">
      <c r="A88" s="90">
        <v>32391</v>
      </c>
      <c r="B88" s="76"/>
      <c r="C88" s="77"/>
      <c r="D88" s="58" t="s">
        <v>145</v>
      </c>
      <c r="E88" s="9">
        <v>431.34912734753465</v>
      </c>
      <c r="F88" s="10">
        <v>0</v>
      </c>
      <c r="G88" s="10">
        <v>0</v>
      </c>
      <c r="H88" s="10">
        <v>0</v>
      </c>
      <c r="I88" s="11">
        <v>0</v>
      </c>
    </row>
    <row r="89" spans="1:9" x14ac:dyDescent="0.25">
      <c r="A89" s="90">
        <v>32392</v>
      </c>
      <c r="B89" s="76"/>
      <c r="C89" s="77"/>
      <c r="D89" s="58" t="s">
        <v>127</v>
      </c>
      <c r="E89" s="9">
        <v>386.03756055478129</v>
      </c>
      <c r="F89" s="10">
        <v>398.16842524387812</v>
      </c>
      <c r="G89" s="10">
        <v>398.16842524387812</v>
      </c>
      <c r="H89" s="10">
        <v>398.16842524387812</v>
      </c>
      <c r="I89" s="10">
        <v>398.16842524387812</v>
      </c>
    </row>
    <row r="90" spans="1:9" ht="26.25" x14ac:dyDescent="0.25">
      <c r="A90" s="90">
        <v>32394</v>
      </c>
      <c r="B90" s="76"/>
      <c r="C90" s="77"/>
      <c r="D90" s="58" t="s">
        <v>128</v>
      </c>
      <c r="E90" s="9">
        <v>313.0347070144004</v>
      </c>
      <c r="F90" s="10">
        <v>331.80702103656512</v>
      </c>
      <c r="G90" s="10">
        <v>199.08421262193906</v>
      </c>
      <c r="H90" s="10">
        <v>199.08421262193906</v>
      </c>
      <c r="I90" s="10">
        <v>199.08421262193906</v>
      </c>
    </row>
    <row r="91" spans="1:9" x14ac:dyDescent="0.25">
      <c r="A91" s="90">
        <v>32396</v>
      </c>
      <c r="B91" s="76"/>
      <c r="C91" s="77"/>
      <c r="D91" s="58" t="s">
        <v>129</v>
      </c>
      <c r="E91" s="9">
        <v>1354.8198287875771</v>
      </c>
      <c r="F91" s="10">
        <v>1393.5894883535734</v>
      </c>
      <c r="G91" s="10">
        <v>1393.5894883535734</v>
      </c>
      <c r="H91" s="10">
        <v>1393.5894883535734</v>
      </c>
      <c r="I91" s="10">
        <v>1393.5894883535734</v>
      </c>
    </row>
    <row r="92" spans="1:9" x14ac:dyDescent="0.25">
      <c r="A92" s="90">
        <v>32399</v>
      </c>
      <c r="B92" s="76"/>
      <c r="C92" s="77"/>
      <c r="D92" s="58" t="s">
        <v>130</v>
      </c>
      <c r="E92" s="9">
        <v>960.78041011347796</v>
      </c>
      <c r="F92" s="10">
        <v>3981.6842524387812</v>
      </c>
      <c r="G92" s="10">
        <v>1327.2280841462605</v>
      </c>
      <c r="H92" s="10">
        <v>1327.2280841462605</v>
      </c>
      <c r="I92" s="10">
        <v>1327.2280841462605</v>
      </c>
    </row>
    <row r="93" spans="1:9" ht="39" x14ac:dyDescent="0.25">
      <c r="A93" s="90">
        <v>32911</v>
      </c>
      <c r="B93" s="76"/>
      <c r="C93" s="77"/>
      <c r="D93" s="58" t="s">
        <v>77</v>
      </c>
      <c r="E93" s="9">
        <v>599.24347999203655</v>
      </c>
      <c r="F93" s="10">
        <v>1061.7824673170085</v>
      </c>
      <c r="G93" s="10">
        <v>1061.7824673170085</v>
      </c>
      <c r="H93" s="10">
        <v>1061.7824673170085</v>
      </c>
      <c r="I93" s="10">
        <v>1061.7824673170085</v>
      </c>
    </row>
    <row r="94" spans="1:9" ht="26.25" x14ac:dyDescent="0.25">
      <c r="A94" s="90">
        <v>32921</v>
      </c>
      <c r="B94" s="76"/>
      <c r="C94" s="77"/>
      <c r="D94" s="58" t="s">
        <v>132</v>
      </c>
      <c r="E94" s="9">
        <v>1157.3349260070343</v>
      </c>
      <c r="F94" s="10">
        <v>1260.8666799389475</v>
      </c>
      <c r="G94" s="10">
        <v>1260.8666799389475</v>
      </c>
      <c r="H94" s="10">
        <v>1260.8666799389475</v>
      </c>
      <c r="I94" s="10">
        <v>1260.8666799389475</v>
      </c>
    </row>
    <row r="95" spans="1:9" x14ac:dyDescent="0.25">
      <c r="A95" s="90">
        <v>32922</v>
      </c>
      <c r="B95" s="76"/>
      <c r="C95" s="77"/>
      <c r="D95" s="58" t="s">
        <v>133</v>
      </c>
      <c r="E95" s="9">
        <v>2610.7770920432677</v>
      </c>
      <c r="F95" s="10">
        <v>2654.4561682925209</v>
      </c>
      <c r="G95" s="10">
        <v>2654.4561682925209</v>
      </c>
      <c r="H95" s="10">
        <v>2654.4561682925209</v>
      </c>
      <c r="I95" s="10">
        <v>2654.4561682925209</v>
      </c>
    </row>
    <row r="96" spans="1:9" x14ac:dyDescent="0.25">
      <c r="A96" s="90">
        <v>32923</v>
      </c>
      <c r="B96" s="76"/>
      <c r="C96" s="77"/>
      <c r="D96" s="58" t="s">
        <v>134</v>
      </c>
      <c r="E96" s="9">
        <v>3741.4904771384959</v>
      </c>
      <c r="F96" s="10">
        <v>4114.4070608534075</v>
      </c>
      <c r="G96" s="10">
        <v>4114.4070608534075</v>
      </c>
      <c r="H96" s="10">
        <v>4114.4070608534075</v>
      </c>
      <c r="I96" s="10">
        <v>4379.8526776826593</v>
      </c>
    </row>
    <row r="97" spans="1:9" x14ac:dyDescent="0.25">
      <c r="A97" s="90">
        <v>32952</v>
      </c>
      <c r="B97" s="76"/>
      <c r="C97" s="77"/>
      <c r="D97" s="58" t="s">
        <v>146</v>
      </c>
      <c r="E97" s="9">
        <v>483.11102262923879</v>
      </c>
      <c r="F97" s="10">
        <v>0</v>
      </c>
      <c r="G97" s="10">
        <v>0</v>
      </c>
      <c r="H97" s="10">
        <v>0</v>
      </c>
      <c r="I97" s="10">
        <v>0</v>
      </c>
    </row>
    <row r="98" spans="1:9" x14ac:dyDescent="0.25">
      <c r="A98" s="90">
        <v>32953</v>
      </c>
      <c r="B98" s="76"/>
      <c r="C98" s="77"/>
      <c r="D98" s="58" t="s">
        <v>135</v>
      </c>
      <c r="E98" s="9">
        <v>39.535470170548805</v>
      </c>
      <c r="F98" s="10">
        <v>39.816842524387816</v>
      </c>
      <c r="G98" s="10">
        <v>39.816842524387816</v>
      </c>
      <c r="H98" s="10">
        <v>39.816842524387816</v>
      </c>
      <c r="I98" s="10">
        <v>39.816842524387816</v>
      </c>
    </row>
    <row r="99" spans="1:9" ht="26.25" x14ac:dyDescent="0.25">
      <c r="A99" s="90">
        <v>32959</v>
      </c>
      <c r="B99" s="76"/>
      <c r="C99" s="77"/>
      <c r="D99" s="58" t="s">
        <v>136</v>
      </c>
      <c r="E99" s="9">
        <v>1000.7299754462804</v>
      </c>
      <c r="F99" s="10">
        <v>318.53474019510253</v>
      </c>
      <c r="G99" s="10">
        <v>318.53474019510253</v>
      </c>
      <c r="H99" s="10">
        <v>318.53474019510253</v>
      </c>
      <c r="I99" s="10">
        <v>318.53474019510253</v>
      </c>
    </row>
    <row r="100" spans="1:9" x14ac:dyDescent="0.25">
      <c r="A100" s="90">
        <v>32961</v>
      </c>
      <c r="B100" s="76"/>
      <c r="C100" s="77"/>
      <c r="D100" s="58" t="s">
        <v>147</v>
      </c>
      <c r="E100" s="9">
        <v>2563.2092375074653</v>
      </c>
      <c r="F100" s="10">
        <v>0</v>
      </c>
      <c r="G100" s="10">
        <v>0</v>
      </c>
      <c r="H100" s="10">
        <v>0</v>
      </c>
      <c r="I100" s="10">
        <v>0</v>
      </c>
    </row>
    <row r="101" spans="1:9" ht="26.25" x14ac:dyDescent="0.25">
      <c r="A101" s="90">
        <v>32999</v>
      </c>
      <c r="B101" s="76"/>
      <c r="C101" s="77"/>
      <c r="D101" s="58" t="s">
        <v>131</v>
      </c>
      <c r="E101" s="9">
        <v>766.54323445484113</v>
      </c>
      <c r="F101" s="10">
        <v>796.33685048775624</v>
      </c>
      <c r="G101" s="10">
        <v>796.33685048775624</v>
      </c>
      <c r="H101" s="10">
        <v>796.33685048775624</v>
      </c>
      <c r="I101" s="10">
        <v>796.33685048775624</v>
      </c>
    </row>
    <row r="102" spans="1:9" x14ac:dyDescent="0.25">
      <c r="A102" s="75">
        <v>34</v>
      </c>
      <c r="B102" s="76"/>
      <c r="C102" s="77"/>
      <c r="D102" s="26" t="s">
        <v>44</v>
      </c>
      <c r="E102" s="9">
        <f>(SUM(E103:E106))</f>
        <v>20167.516092640522</v>
      </c>
      <c r="F102" s="10">
        <v>2322.649147255956</v>
      </c>
      <c r="G102" s="10">
        <v>2322.649147255956</v>
      </c>
      <c r="H102" s="10">
        <f>(SUM(H103:H106))</f>
        <v>2322.649147255956</v>
      </c>
      <c r="I102" s="10">
        <f>(SUM(I103:I106))</f>
        <v>2322.649147255956</v>
      </c>
    </row>
    <row r="103" spans="1:9" x14ac:dyDescent="0.25">
      <c r="A103" s="89">
        <v>34312</v>
      </c>
      <c r="B103" s="76"/>
      <c r="C103" s="77"/>
      <c r="D103" s="58" t="s">
        <v>137</v>
      </c>
      <c r="E103" s="9">
        <v>2565.7150441303338</v>
      </c>
      <c r="F103" s="10">
        <v>2322.649147255956</v>
      </c>
      <c r="G103" s="10">
        <v>2322.649147255956</v>
      </c>
      <c r="H103" s="10">
        <v>2322.649147255956</v>
      </c>
      <c r="I103" s="10">
        <v>2322.649147255956</v>
      </c>
    </row>
    <row r="104" spans="1:9" x14ac:dyDescent="0.25">
      <c r="A104" s="89">
        <v>34332</v>
      </c>
      <c r="B104" s="76"/>
      <c r="C104" s="77"/>
      <c r="D104" s="58" t="s">
        <v>138</v>
      </c>
      <c r="E104" s="9">
        <v>6377.7317672041936</v>
      </c>
      <c r="F104" s="10">
        <v>0</v>
      </c>
      <c r="G104" s="10">
        <v>0</v>
      </c>
      <c r="H104" s="10">
        <v>0</v>
      </c>
      <c r="I104" s="10">
        <v>0</v>
      </c>
    </row>
    <row r="105" spans="1:9" x14ac:dyDescent="0.25">
      <c r="A105" s="89">
        <v>34333</v>
      </c>
      <c r="B105" s="76"/>
      <c r="C105" s="77"/>
      <c r="D105" s="58" t="s">
        <v>140</v>
      </c>
      <c r="E105" s="9">
        <v>146.05879620412767</v>
      </c>
      <c r="F105" s="10">
        <v>0</v>
      </c>
      <c r="G105" s="10">
        <v>0</v>
      </c>
      <c r="H105" s="10">
        <v>0</v>
      </c>
      <c r="I105" s="11">
        <v>0</v>
      </c>
    </row>
    <row r="106" spans="1:9" x14ac:dyDescent="0.25">
      <c r="A106" s="89">
        <v>34339</v>
      </c>
      <c r="B106" s="76"/>
      <c r="C106" s="77"/>
      <c r="D106" s="58" t="s">
        <v>139</v>
      </c>
      <c r="E106" s="9">
        <v>11078.010485101864</v>
      </c>
      <c r="F106" s="10">
        <v>0</v>
      </c>
      <c r="G106" s="10">
        <v>0</v>
      </c>
      <c r="H106" s="10">
        <v>0</v>
      </c>
      <c r="I106" s="11">
        <v>0</v>
      </c>
    </row>
    <row r="107" spans="1:9" ht="25.5" x14ac:dyDescent="0.25">
      <c r="A107" s="72">
        <v>4</v>
      </c>
      <c r="B107" s="76"/>
      <c r="C107" s="77"/>
      <c r="D107" s="26" t="s">
        <v>15</v>
      </c>
      <c r="E107" s="9">
        <v>12797.265910146658</v>
      </c>
      <c r="F107" s="10">
        <v>1327.2280841462605</v>
      </c>
      <c r="G107" s="10">
        <v>5308.9123365850419</v>
      </c>
      <c r="H107" s="10">
        <f>(H108)</f>
        <v>5308.9123365850419</v>
      </c>
      <c r="I107" s="10">
        <f>(I108)</f>
        <v>5308.9123365850419</v>
      </c>
    </row>
    <row r="108" spans="1:9" ht="25.5" x14ac:dyDescent="0.25">
      <c r="A108" s="72">
        <v>42</v>
      </c>
      <c r="B108" s="76"/>
      <c r="C108" s="77"/>
      <c r="D108" s="26" t="s">
        <v>37</v>
      </c>
      <c r="E108" s="9">
        <v>12797.265910146658</v>
      </c>
      <c r="F108" s="10">
        <v>1327.2280841462605</v>
      </c>
      <c r="G108" s="10">
        <v>5308.9123365850419</v>
      </c>
      <c r="H108" s="10">
        <f>(H109)</f>
        <v>5308.9123365850419</v>
      </c>
      <c r="I108" s="10">
        <f>(I109)</f>
        <v>5308.9123365850419</v>
      </c>
    </row>
    <row r="109" spans="1:9" x14ac:dyDescent="0.25">
      <c r="A109" s="89">
        <v>42273</v>
      </c>
      <c r="B109" s="76"/>
      <c r="C109" s="77"/>
      <c r="D109" s="26" t="s">
        <v>141</v>
      </c>
      <c r="E109" s="9">
        <v>12797.265910146658</v>
      </c>
      <c r="F109" s="10">
        <v>1327.2280841462605</v>
      </c>
      <c r="G109" s="10">
        <v>5308.9123365850419</v>
      </c>
      <c r="H109" s="10">
        <v>5308.9123365850419</v>
      </c>
      <c r="I109" s="10">
        <v>5308.9123365850419</v>
      </c>
    </row>
    <row r="110" spans="1:9" x14ac:dyDescent="0.25">
      <c r="A110" s="249" t="s">
        <v>61</v>
      </c>
      <c r="B110" s="250"/>
      <c r="C110" s="251"/>
      <c r="D110" s="59" t="s">
        <v>64</v>
      </c>
      <c r="E110" s="45">
        <v>4005.5743579534142</v>
      </c>
      <c r="F110" s="46">
        <v>5906.1649744508586</v>
      </c>
      <c r="G110" s="46">
        <v>5906.1649744508586</v>
      </c>
      <c r="H110" s="46">
        <f>(H111)</f>
        <v>5906.1649744508595</v>
      </c>
      <c r="I110" s="74">
        <f>(I111)</f>
        <v>5906.1649744508595</v>
      </c>
    </row>
    <row r="111" spans="1:9" x14ac:dyDescent="0.25">
      <c r="A111" s="72">
        <v>3</v>
      </c>
      <c r="B111" s="73"/>
      <c r="C111" s="77"/>
      <c r="D111" s="26" t="s">
        <v>13</v>
      </c>
      <c r="E111" s="9">
        <v>4005.5743579534142</v>
      </c>
      <c r="F111" s="10">
        <v>5906.1649744508586</v>
      </c>
      <c r="G111" s="10">
        <v>5906.1649744508586</v>
      </c>
      <c r="H111" s="10">
        <f>(H112)</f>
        <v>5906.1649744508595</v>
      </c>
      <c r="I111" s="10">
        <f>(I112)</f>
        <v>5906.1649744508595</v>
      </c>
    </row>
    <row r="112" spans="1:9" x14ac:dyDescent="0.25">
      <c r="A112" s="72">
        <v>32</v>
      </c>
      <c r="B112" s="73"/>
      <c r="C112" s="77"/>
      <c r="D112" s="26" t="s">
        <v>24</v>
      </c>
      <c r="E112" s="9">
        <f>(SUM(E113:E115))</f>
        <v>4005.5902846904237</v>
      </c>
      <c r="F112" s="10">
        <v>5906.1649744508586</v>
      </c>
      <c r="G112" s="10">
        <v>5906.1649744508586</v>
      </c>
      <c r="H112" s="10">
        <f>(SUM(H113:H115))</f>
        <v>5906.1649744508595</v>
      </c>
      <c r="I112" s="10">
        <f>(SUM(I113:I115))</f>
        <v>5906.1649744508595</v>
      </c>
    </row>
    <row r="113" spans="1:9" x14ac:dyDescent="0.25">
      <c r="A113" s="86">
        <v>32131</v>
      </c>
      <c r="B113" s="42"/>
      <c r="C113" s="43"/>
      <c r="D113" s="58" t="s">
        <v>89</v>
      </c>
      <c r="E113" s="9">
        <v>491.07439113411635</v>
      </c>
      <c r="F113" s="10">
        <v>1725.3965093901386</v>
      </c>
      <c r="G113" s="10">
        <v>1725.3965093901386</v>
      </c>
      <c r="H113" s="10">
        <v>1725.3965093901386</v>
      </c>
      <c r="I113" s="10">
        <v>1725.3965093901386</v>
      </c>
    </row>
    <row r="114" spans="1:9" ht="26.25" x14ac:dyDescent="0.25">
      <c r="A114" s="86">
        <v>32211</v>
      </c>
      <c r="B114" s="42"/>
      <c r="C114" s="43"/>
      <c r="D114" s="58" t="s">
        <v>90</v>
      </c>
      <c r="E114" s="9">
        <v>3023.8901055146325</v>
      </c>
      <c r="F114" s="10">
        <v>4008.2288141217068</v>
      </c>
      <c r="G114" s="10">
        <v>4008.2288141217068</v>
      </c>
      <c r="H114" s="10">
        <v>4008.2288141217068</v>
      </c>
      <c r="I114" s="10">
        <v>4008.2288141217068</v>
      </c>
    </row>
    <row r="115" spans="1:9" x14ac:dyDescent="0.25">
      <c r="A115" s="86">
        <v>32212</v>
      </c>
      <c r="B115" s="42"/>
      <c r="C115" s="43"/>
      <c r="D115" s="26" t="s">
        <v>81</v>
      </c>
      <c r="E115" s="9">
        <v>490.62578804167492</v>
      </c>
      <c r="F115" s="10">
        <v>172.53965093901385</v>
      </c>
      <c r="G115" s="10">
        <v>172.53965093901385</v>
      </c>
      <c r="H115" s="10">
        <v>172.53965093901385</v>
      </c>
      <c r="I115" s="10">
        <v>172.53965093901385</v>
      </c>
    </row>
    <row r="116" spans="1:9" x14ac:dyDescent="0.25">
      <c r="A116" s="249" t="s">
        <v>62</v>
      </c>
      <c r="B116" s="250"/>
      <c r="C116" s="251"/>
      <c r="D116" s="59" t="s">
        <v>42</v>
      </c>
      <c r="E116" s="45">
        <f>(E117)</f>
        <v>714.18143207910271</v>
      </c>
      <c r="F116" s="46">
        <v>132.72280841462606</v>
      </c>
      <c r="G116" s="46">
        <v>132.72280841462606</v>
      </c>
      <c r="H116" s="46">
        <f t="shared" ref="H116:I118" si="0">(H117)</f>
        <v>132.72280841462606</v>
      </c>
      <c r="I116" s="46">
        <f t="shared" si="0"/>
        <v>132.72280841462606</v>
      </c>
    </row>
    <row r="117" spans="1:9" x14ac:dyDescent="0.25">
      <c r="A117" s="240">
        <v>3</v>
      </c>
      <c r="B117" s="241"/>
      <c r="C117" s="242"/>
      <c r="D117" s="26" t="s">
        <v>13</v>
      </c>
      <c r="E117" s="9">
        <f>(E118+E120)</f>
        <v>714.18143207910271</v>
      </c>
      <c r="F117" s="10">
        <v>132.72280841462606</v>
      </c>
      <c r="G117" s="10">
        <v>132.72280841462606</v>
      </c>
      <c r="H117" s="10">
        <f t="shared" si="0"/>
        <v>132.72280841462606</v>
      </c>
      <c r="I117" s="10">
        <f t="shared" si="0"/>
        <v>132.72280841462606</v>
      </c>
    </row>
    <row r="118" spans="1:9" x14ac:dyDescent="0.25">
      <c r="A118" s="240">
        <v>32</v>
      </c>
      <c r="B118" s="241"/>
      <c r="C118" s="242"/>
      <c r="D118" s="26" t="s">
        <v>24</v>
      </c>
      <c r="E118" s="9">
        <v>261.59665538522796</v>
      </c>
      <c r="F118" s="10">
        <v>132.72280841462606</v>
      </c>
      <c r="G118" s="10">
        <v>132.72280841462606</v>
      </c>
      <c r="H118" s="10">
        <f t="shared" si="0"/>
        <v>132.72280841462606</v>
      </c>
      <c r="I118" s="10">
        <f t="shared" si="0"/>
        <v>132.72280841462606</v>
      </c>
    </row>
    <row r="119" spans="1:9" x14ac:dyDescent="0.25">
      <c r="A119" s="91">
        <v>32251</v>
      </c>
      <c r="B119" s="84"/>
      <c r="C119" s="85"/>
      <c r="D119" s="58" t="s">
        <v>101</v>
      </c>
      <c r="E119" s="9">
        <v>261.59665538522796</v>
      </c>
      <c r="F119" s="10">
        <v>132.72280841462606</v>
      </c>
      <c r="G119" s="10">
        <v>132.72280841462606</v>
      </c>
      <c r="H119" s="10">
        <v>132.72280841462606</v>
      </c>
      <c r="I119" s="10">
        <v>132.72280841462606</v>
      </c>
    </row>
    <row r="120" spans="1:9" x14ac:dyDescent="0.25">
      <c r="A120" s="41">
        <v>38</v>
      </c>
      <c r="B120" s="84"/>
      <c r="C120" s="85"/>
      <c r="D120" s="26" t="s">
        <v>46</v>
      </c>
      <c r="E120" s="9">
        <v>452.5847766938748</v>
      </c>
      <c r="F120" s="10">
        <v>0</v>
      </c>
      <c r="G120" s="10">
        <v>0</v>
      </c>
      <c r="H120" s="10">
        <v>0</v>
      </c>
      <c r="I120" s="11">
        <v>0</v>
      </c>
    </row>
    <row r="121" spans="1:9" x14ac:dyDescent="0.25">
      <c r="A121" s="83">
        <v>38129</v>
      </c>
      <c r="B121" s="84"/>
      <c r="C121" s="85"/>
      <c r="D121" s="26" t="s">
        <v>142</v>
      </c>
      <c r="E121" s="9">
        <v>452.5847766938748</v>
      </c>
      <c r="F121" s="10">
        <v>0</v>
      </c>
      <c r="G121" s="10">
        <v>0</v>
      </c>
      <c r="H121" s="10">
        <v>0</v>
      </c>
      <c r="I121" s="10">
        <v>0</v>
      </c>
    </row>
    <row r="122" spans="1:9" x14ac:dyDescent="0.25">
      <c r="A122" s="249" t="s">
        <v>63</v>
      </c>
      <c r="B122" s="250"/>
      <c r="C122" s="251"/>
      <c r="D122" s="26" t="s">
        <v>43</v>
      </c>
      <c r="E122" s="9">
        <v>0</v>
      </c>
      <c r="F122" s="10">
        <v>3981.6842524387812</v>
      </c>
      <c r="G122" s="10">
        <v>0</v>
      </c>
      <c r="H122" s="10">
        <v>0</v>
      </c>
      <c r="I122" s="11">
        <v>0</v>
      </c>
    </row>
    <row r="123" spans="1:9" ht="25.5" x14ac:dyDescent="0.25">
      <c r="A123" s="240">
        <v>4</v>
      </c>
      <c r="B123" s="241"/>
      <c r="C123" s="242"/>
      <c r="D123" s="26" t="s">
        <v>15</v>
      </c>
      <c r="E123" s="9">
        <v>0</v>
      </c>
      <c r="F123" s="10">
        <v>3981.6842524387812</v>
      </c>
      <c r="G123" s="10">
        <v>0</v>
      </c>
      <c r="H123" s="10">
        <v>0</v>
      </c>
      <c r="I123" s="11">
        <v>0</v>
      </c>
    </row>
    <row r="124" spans="1:9" ht="25.5" x14ac:dyDescent="0.25">
      <c r="A124" s="240">
        <v>42</v>
      </c>
      <c r="B124" s="241"/>
      <c r="C124" s="242"/>
      <c r="D124" s="26" t="s">
        <v>37</v>
      </c>
      <c r="E124" s="9">
        <v>0</v>
      </c>
      <c r="F124" s="10">
        <v>3981.6842524387812</v>
      </c>
      <c r="G124" s="10">
        <v>0</v>
      </c>
      <c r="H124" s="10">
        <v>0</v>
      </c>
      <c r="I124" s="11">
        <v>0</v>
      </c>
    </row>
    <row r="125" spans="1:9" x14ac:dyDescent="0.25">
      <c r="A125" s="80">
        <v>42273</v>
      </c>
      <c r="B125" s="81"/>
      <c r="C125" s="82"/>
      <c r="D125" s="26" t="s">
        <v>141</v>
      </c>
      <c r="E125" s="9">
        <v>0</v>
      </c>
      <c r="F125" s="9">
        <v>3981.6842524387812</v>
      </c>
      <c r="G125" s="10">
        <v>0</v>
      </c>
      <c r="H125" s="10">
        <v>0</v>
      </c>
      <c r="I125" s="10">
        <v>0</v>
      </c>
    </row>
    <row r="126" spans="1:9" ht="25.5" x14ac:dyDescent="0.25">
      <c r="A126" s="230" t="s">
        <v>56</v>
      </c>
      <c r="B126" s="231"/>
      <c r="C126" s="232"/>
      <c r="D126" s="27" t="s">
        <v>57</v>
      </c>
      <c r="E126" s="45">
        <f>(E132+E127)</f>
        <v>30273.053288207579</v>
      </c>
      <c r="F126" s="45">
        <f>(F132+F127)</f>
        <v>36697.8565266441</v>
      </c>
      <c r="G126" s="46">
        <v>43732.165372619282</v>
      </c>
      <c r="H126" s="46">
        <f>(H127+H132)</f>
        <v>43732.165372619282</v>
      </c>
      <c r="I126" s="46">
        <f>(I127+I132)</f>
        <v>43732.165372619282</v>
      </c>
    </row>
    <row r="127" spans="1:9" x14ac:dyDescent="0.25">
      <c r="A127" s="249" t="s">
        <v>61</v>
      </c>
      <c r="B127" s="250"/>
      <c r="C127" s="251"/>
      <c r="D127" s="59" t="s">
        <v>64</v>
      </c>
      <c r="E127" s="45">
        <f>(E129)</f>
        <v>6590.9987391333198</v>
      </c>
      <c r="F127" s="46">
        <v>7631.5614838409974</v>
      </c>
      <c r="G127" s="46">
        <v>7631.5614838409974</v>
      </c>
      <c r="H127" s="46">
        <f>(H128)</f>
        <v>7631.5614838409974</v>
      </c>
      <c r="I127" s="46">
        <f>(I128)</f>
        <v>7631.5614838409974</v>
      </c>
    </row>
    <row r="128" spans="1:9" x14ac:dyDescent="0.25">
      <c r="A128" s="240">
        <v>3</v>
      </c>
      <c r="B128" s="241"/>
      <c r="C128" s="242"/>
      <c r="D128" s="26" t="s">
        <v>13</v>
      </c>
      <c r="E128" s="9">
        <f>(E129)</f>
        <v>6590.9987391333198</v>
      </c>
      <c r="F128" s="10">
        <v>7631.5614838409974</v>
      </c>
      <c r="G128" s="10">
        <v>7631.5614838409974</v>
      </c>
      <c r="H128" s="10">
        <f>(H129)</f>
        <v>7631.5614838409974</v>
      </c>
      <c r="I128" s="10">
        <f>(I129)</f>
        <v>7631.5614838409974</v>
      </c>
    </row>
    <row r="129" spans="1:9" x14ac:dyDescent="0.25">
      <c r="A129" s="240">
        <v>32</v>
      </c>
      <c r="B129" s="241"/>
      <c r="C129" s="242"/>
      <c r="D129" s="26" t="s">
        <v>24</v>
      </c>
      <c r="E129" s="9">
        <v>6590.9987391333198</v>
      </c>
      <c r="F129" s="10">
        <v>7631.5614838409974</v>
      </c>
      <c r="G129" s="10">
        <v>7631.5614838409974</v>
      </c>
      <c r="H129" s="10">
        <f>(SUM(H130:H131))</f>
        <v>7631.5614838409974</v>
      </c>
      <c r="I129" s="10">
        <f>(SUM(I130:I131))</f>
        <v>7631.5614838409974</v>
      </c>
    </row>
    <row r="130" spans="1:9" x14ac:dyDescent="0.25">
      <c r="A130" s="91">
        <v>32131</v>
      </c>
      <c r="B130" s="84"/>
      <c r="C130" s="85"/>
      <c r="D130" s="58" t="s">
        <v>89</v>
      </c>
      <c r="E130" s="9">
        <v>544.16351449996682</v>
      </c>
      <c r="F130" s="10">
        <v>398.16842524387812</v>
      </c>
      <c r="G130" s="10">
        <v>398.16842524387812</v>
      </c>
      <c r="H130" s="10">
        <v>398.16842524387812</v>
      </c>
      <c r="I130" s="10">
        <v>398.16842524387812</v>
      </c>
    </row>
    <row r="131" spans="1:9" ht="30.75" customHeight="1" x14ac:dyDescent="0.25">
      <c r="A131" s="91">
        <v>32211</v>
      </c>
      <c r="B131" s="84"/>
      <c r="C131" s="85"/>
      <c r="D131" s="58" t="s">
        <v>90</v>
      </c>
      <c r="E131" s="9">
        <v>6046.8484969141946</v>
      </c>
      <c r="F131" s="10">
        <v>7233.3930585971193</v>
      </c>
      <c r="G131" s="10">
        <v>7233.3930585971193</v>
      </c>
      <c r="H131" s="10">
        <v>7233.3930585971193</v>
      </c>
      <c r="I131" s="10">
        <v>7233.3930585971193</v>
      </c>
    </row>
    <row r="132" spans="1:9" x14ac:dyDescent="0.25">
      <c r="A132" s="249" t="s">
        <v>55</v>
      </c>
      <c r="B132" s="250"/>
      <c r="C132" s="251"/>
      <c r="D132" s="59" t="s">
        <v>11</v>
      </c>
      <c r="E132" s="45">
        <f>(E134)</f>
        <v>23682.054549074259</v>
      </c>
      <c r="F132" s="46">
        <v>29066.295042803104</v>
      </c>
      <c r="G132" s="46">
        <v>36100.603888778285</v>
      </c>
      <c r="H132" s="46">
        <f>(H133)</f>
        <v>36100.603888778285</v>
      </c>
      <c r="I132" s="46">
        <f>(I133)</f>
        <v>36100.603888778285</v>
      </c>
    </row>
    <row r="133" spans="1:9" x14ac:dyDescent="0.25">
      <c r="A133" s="240">
        <v>3</v>
      </c>
      <c r="B133" s="241"/>
      <c r="C133" s="242"/>
      <c r="D133" s="26" t="s">
        <v>13</v>
      </c>
      <c r="E133" s="9">
        <f>(E134)</f>
        <v>23682.054549074259</v>
      </c>
      <c r="F133" s="10">
        <v>29066.295042803104</v>
      </c>
      <c r="G133" s="10">
        <v>36100.603888778285</v>
      </c>
      <c r="H133" s="10">
        <f>(H134)</f>
        <v>36100.603888778285</v>
      </c>
      <c r="I133" s="10">
        <f>(I134)</f>
        <v>36100.603888778285</v>
      </c>
    </row>
    <row r="134" spans="1:9" ht="38.25" x14ac:dyDescent="0.25">
      <c r="A134" s="240">
        <v>37</v>
      </c>
      <c r="B134" s="241"/>
      <c r="C134" s="242"/>
      <c r="D134" s="26" t="s">
        <v>58</v>
      </c>
      <c r="E134" s="9">
        <v>23682.054549074259</v>
      </c>
      <c r="F134" s="10">
        <v>29066.295042803104</v>
      </c>
      <c r="G134" s="10">
        <v>36100.603888778285</v>
      </c>
      <c r="H134" s="10">
        <v>36100.603888778285</v>
      </c>
      <c r="I134" s="10">
        <v>36100.603888778285</v>
      </c>
    </row>
    <row r="135" spans="1:9" x14ac:dyDescent="0.25">
      <c r="A135" s="254">
        <v>37213</v>
      </c>
      <c r="B135" s="255"/>
      <c r="C135" s="256"/>
      <c r="D135" s="57" t="s">
        <v>79</v>
      </c>
      <c r="E135" s="9">
        <v>23682.054549074259</v>
      </c>
      <c r="F135" s="10">
        <v>29066.295042803104</v>
      </c>
      <c r="G135" s="10">
        <v>36100.603888778285</v>
      </c>
      <c r="H135" s="10">
        <v>36100.603888778285</v>
      </c>
      <c r="I135" s="10">
        <v>36100.603888778285</v>
      </c>
    </row>
    <row r="136" spans="1:9" x14ac:dyDescent="0.25">
      <c r="A136" s="93" t="s">
        <v>158</v>
      </c>
      <c r="B136" s="93"/>
      <c r="C136" s="93"/>
      <c r="D136" s="93"/>
      <c r="E136" s="93"/>
      <c r="H136" s="56"/>
      <c r="I136" s="56"/>
    </row>
    <row r="137" spans="1:9" x14ac:dyDescent="0.25">
      <c r="H137" s="56"/>
      <c r="I137" s="56"/>
    </row>
    <row r="138" spans="1:9" x14ac:dyDescent="0.25">
      <c r="A138" t="s">
        <v>150</v>
      </c>
    </row>
    <row r="139" spans="1:9" x14ac:dyDescent="0.25">
      <c r="A139" t="s">
        <v>151</v>
      </c>
    </row>
    <row r="140" spans="1:9" x14ac:dyDescent="0.25">
      <c r="A140" t="s">
        <v>154</v>
      </c>
      <c r="H140" t="s">
        <v>152</v>
      </c>
    </row>
    <row r="141" spans="1:9" x14ac:dyDescent="0.25">
      <c r="H141" t="s">
        <v>153</v>
      </c>
    </row>
  </sheetData>
  <mergeCells count="25">
    <mergeCell ref="A135:C135"/>
    <mergeCell ref="A128:C128"/>
    <mergeCell ref="A129:C129"/>
    <mergeCell ref="A132:C132"/>
    <mergeCell ref="A133:C133"/>
    <mergeCell ref="A134:C134"/>
    <mergeCell ref="A9:C9"/>
    <mergeCell ref="A20:C20"/>
    <mergeCell ref="A26:C26"/>
    <mergeCell ref="A127:C127"/>
    <mergeCell ref="A110:C110"/>
    <mergeCell ref="A116:C116"/>
    <mergeCell ref="A117:C117"/>
    <mergeCell ref="A118:C118"/>
    <mergeCell ref="A122:C122"/>
    <mergeCell ref="A123:C123"/>
    <mergeCell ref="A124:C124"/>
    <mergeCell ref="A126:C126"/>
    <mergeCell ref="A8:C8"/>
    <mergeCell ref="A1:I1"/>
    <mergeCell ref="A3:I3"/>
    <mergeCell ref="A5:C5"/>
    <mergeCell ref="A6:C6"/>
    <mergeCell ref="A7:C7"/>
    <mergeCell ref="A4:C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O16" sqref="O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DIO-2.raz.za UV</vt:lpstr>
      <vt:lpstr>POSEBNI DIO-5.razina</vt:lpstr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Ured 2</cp:lastModifiedBy>
  <cp:lastPrinted>2024-05-08T08:42:39Z</cp:lastPrinted>
  <dcterms:created xsi:type="dcterms:W3CDTF">2022-08-12T12:51:27Z</dcterms:created>
  <dcterms:modified xsi:type="dcterms:W3CDTF">2024-05-10T08:34:06Z</dcterms:modified>
</cp:coreProperties>
</file>